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CJ1C5cZA9hXPqt+VciPVo9k5ZlrxLdeSeZgKd4AGUY/9MIWEnfgYQtaPVnl3QISQTZ3E7i3kBnRJKtR/oqmBhw==" workbookSaltValue="n4CnvdSkTM5JcfYhzDE7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R8" i="9"/>
  <c r="X12" i="21" s="1"/>
  <c r="EP19" i="8"/>
  <c r="AJ13" i="16"/>
  <c r="T9" i="11"/>
  <c r="BF11" i="11"/>
  <c r="BH11" i="16"/>
  <c r="BL9" i="11"/>
  <c r="BH17" i="16"/>
  <c r="BG10" i="11"/>
  <c r="BM16" i="11"/>
  <c r="P17" i="17"/>
  <c r="BL17" i="11"/>
  <c r="BK12" i="11"/>
  <c r="BF10" i="11"/>
  <c r="BK9" i="11"/>
  <c r="S13" i="16"/>
  <c r="P13" i="16"/>
  <c r="H13" i="21"/>
  <c r="AN13" i="20"/>
  <c r="F15" i="17"/>
  <c r="AQ15" i="17" s="1"/>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S15" i="17"/>
  <c r="V10" i="16"/>
  <c r="V9" i="16"/>
  <c r="BG15" i="13"/>
  <c r="BE15" i="13"/>
  <c r="W20" i="20"/>
  <c r="AA20" i="20"/>
  <c r="M20" i="20"/>
  <c r="AV20" i="20"/>
  <c r="AP20" i="20"/>
  <c r="BD17" i="8" l="1"/>
  <c r="AN12" i="11"/>
  <c r="BG12" i="8"/>
  <c r="K12" i="7" s="1"/>
  <c r="BG10" i="8"/>
  <c r="AM11" i="11"/>
  <c r="BF16" i="13"/>
  <c r="BA18" i="13"/>
  <c r="BF15" i="13"/>
  <c r="L9" i="2"/>
  <c r="U9" i="17"/>
  <c r="U19" i="17" s="1"/>
  <c r="L12" i="2"/>
  <c r="AA10" i="16"/>
  <c r="X12" i="17"/>
  <c r="BL16" i="11"/>
  <c r="BJ16" i="11"/>
  <c r="BJ18" i="11" s="1"/>
  <c r="AQ12" i="21"/>
  <c r="BH16" i="11"/>
  <c r="BF15" i="11"/>
  <c r="BM17" i="11"/>
  <c r="Q15" i="17"/>
  <c r="BH10" i="16"/>
  <c r="S10" i="17"/>
  <c r="AQ10" i="21"/>
  <c r="BI9" i="11"/>
  <c r="BH10" i="11"/>
  <c r="Q17" i="17"/>
  <c r="BG12" i="11"/>
  <c r="AZ12" i="11"/>
  <c r="AZ16" i="11"/>
  <c r="BV9" i="16"/>
  <c r="BU16" i="17"/>
  <c r="V12" i="16"/>
  <c r="BW10" i="20"/>
  <c r="BW11" i="20"/>
  <c r="BV11" i="16"/>
  <c r="BW12" i="20"/>
  <c r="BV12" i="16"/>
  <c r="BU10" i="17"/>
  <c r="BV17" i="16"/>
  <c r="BU11" i="17"/>
  <c r="T15" i="16"/>
  <c r="T17" i="16"/>
  <c r="BK17" i="11"/>
  <c r="R17" i="20"/>
  <c r="R18" i="20" s="1"/>
  <c r="BG15" i="11"/>
  <c r="AP15" i="20"/>
  <c r="BJ12" i="11"/>
  <c r="BJ15" i="11"/>
  <c r="BI15" i="11"/>
  <c r="BH9" i="11"/>
  <c r="BM12" i="11"/>
  <c r="AP10" i="21"/>
  <c r="BK11" i="11"/>
  <c r="E12" i="6"/>
  <c r="AO12" i="11"/>
  <c r="BL12" i="11"/>
  <c r="S17" i="16"/>
  <c r="BF16" i="11"/>
  <c r="BF17" i="11"/>
  <c r="V11" i="16"/>
  <c r="Q17" i="20"/>
  <c r="Q18" i="20" s="1"/>
  <c r="BH15" i="16"/>
  <c r="BH15" i="11"/>
  <c r="BJ17" i="11"/>
  <c r="V15" i="11"/>
  <c r="BH9" i="16"/>
  <c r="AP16" i="20"/>
  <c r="BE9" i="8"/>
  <c r="I9" i="7" s="1"/>
  <c r="BG15" i="8"/>
  <c r="AO9" i="11"/>
  <c r="AO17" i="11"/>
  <c r="F15" i="16"/>
  <c r="BL15" i="16" s="1"/>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Q20" i="20"/>
  <c r="AF20" i="20"/>
  <c r="AI20" i="20"/>
  <c r="AM20" i="20"/>
  <c r="AC20" i="20"/>
  <c r="AB20" i="20"/>
  <c r="I20" i="20"/>
  <c r="AD20" i="20"/>
  <c r="AX20" i="20"/>
  <c r="G18" i="14"/>
  <c r="U12" i="11"/>
  <c r="AJ20" i="20"/>
  <c r="O10" i="11"/>
  <c r="AL20" i="20"/>
  <c r="AG20" i="20"/>
  <c r="AE20" i="20"/>
  <c r="P20" i="20"/>
  <c r="Y20" i="20"/>
  <c r="F20" i="20"/>
  <c r="O16" i="11"/>
  <c r="T20" i="21"/>
  <c r="J12" i="12" l="1"/>
  <c r="I12" i="12"/>
  <c r="BE13" i="13"/>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<sst xmlns="http://schemas.openxmlformats.org/spreadsheetml/2006/main" count="2102" uniqueCount="916">
  <si>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</si>
  <si>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</si>
  <si>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</si>
  <si>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</si>
  <si>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</si>
  <si>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</si>
  <si>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</si>
  <si>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</si>
  <si>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</si>
  <si>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</si>
  <si>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</si>
  <si>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</si>
  <si>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</si>
  <si>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</si>
  <si>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</si>
  <si>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</si>
  <si>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</si>
  <si>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</si>
  <si>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</si>
  <si>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</si>
  <si>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</si>
  <si>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</si>
  <si>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</si>
  <si>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</si>
  <si>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</si>
  <si>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</si>
  <si>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</si>
  <si>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</si>
  <si>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</si>
  <si>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</si>
  <si>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</si>
  <si>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</si>
  <si>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</si>
  <si>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</si>
  <si>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</si>
  <si>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</si>
  <si>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</si>
  <si>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</si>
  <si>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</si>
  <si>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</si>
  <si>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</si>
  <si>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</si>
  <si>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</si>
  <si>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</si>
  <si>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</si>
  <si>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</si>
  <si>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</si>
  <si>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</si>
  <si>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</si>
  <si>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</si>
  <si>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</si>
  <si>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</si>
  <si>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</si>
  <si>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</si>
  <si>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</si>
  <si>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</si>
  <si>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</si>
  <si>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</si>
  <si>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</si>
  <si>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</si>
  <si>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</si>
  <si>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</si>
  <si>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</si>
  <si>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</si>
  <si>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</si>
  <si>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</si>
  <si>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</si>
  <si>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</si>
  <si>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</si>
  <si>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</si>
  <si>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</si>
  <si>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</si>
  <si>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</si>
  <si>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</si>
  <si>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</si>
  <si>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</si>
  <si>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</si>
  <si>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</si>
  <si>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</si>
  <si>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</si>
  <si>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</si>
  <si>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</si>
  <si>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</si>
  <si>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</si>
  <si>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</si>
  <si>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</si>
  <si>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</si>
  <si>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</si>
  <si>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</si>
  <si>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</si>
  <si>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</si>
  <si>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</si>
  <si>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</si>
  <si>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</si>
  <si>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</si>
  <si>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</si>
  <si>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</si>
  <si>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</si>
  <si>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</si>
  <si>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</si>
  <si>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</si>
  <si>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</si>
  <si>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</si>
  <si>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</si>
  <si>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</si>
  <si>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</si>
  <si>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</si>
  <si>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</si>
  <si>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</si>
  <si>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</si>
  <si>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</si>
  <si>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</si>
  <si>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</si>
  <si>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</si>
  <si>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</si>
  <si>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</si>
  <si>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</si>
  <si>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</si>
  <si>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</si>
  <si>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</si>
  <si>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</si>
  <si>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</si>
  <si>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</si>
  <si>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</si>
  <si>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</si>
  <si>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</si>
  <si>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</si>
  <si>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</si>
  <si>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</si>
  <si>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</si>
  <si>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</si>
  <si>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</si>
  <si>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</si>
  <si>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</si>
  <si>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</si>
  <si>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</si>
  <si>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</si>
  <si>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</si>
  <si>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</si>
  <si>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</si>
  <si>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</si>
  <si>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</si>
  <si>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</si>
  <si>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</si>
  <si>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</si>
  <si>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</si>
  <si>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</si>
  <si>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</si>
  <si>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</si>
  <si>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</si>
  <si>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</si>
  <si>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</si>
  <si>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</si>
  <si>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</si>
  <si>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</si>
  <si>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</si>
  <si>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</si>
  <si>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</si>
  <si>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</si>
  <si>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</si>
  <si>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</si>
  <si>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</si>
  <si>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</si>
  <si>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</si>
  <si>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</si>
  <si>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</si>
  <si>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</si>
  <si>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</si>
  <si>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</si>
  <si>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</si>
  <si>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</si>
  <si>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</si>
  <si>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</si>
  <si>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</si>
  <si>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</si>
  <si>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</si>
  <si>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</si>
  <si>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</si>
  <si>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</si>
  <si>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</si>
  <si>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</si>
  <si>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</si>
  <si>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</si>
  <si>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</si>
  <si>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</si>
  <si>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</si>
  <si>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</si>
  <si>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</si>
  <si>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</si>
  <si>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</si>
  <si>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</si>
  <si>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</si>
  <si>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</si>
  <si>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</si>
  <si>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</si>
  <si>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</si>
  <si>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</si>
  <si>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</si>
  <si>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</si>
  <si>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</si>
  <si>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</si>
  <si>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</si>
  <si>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</si>
  <si>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</si>
  <si>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</si>
  <si>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</si>
  <si>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</si>
  <si>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</si>
  <si>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</si>
  <si>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</si>
  <si>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</si>
  <si>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</si>
  <si>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</si>
  <si>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</si>
  <si>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</si>
  <si>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</si>
  <si>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</si>
  <si>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</si>
  <si>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</si>
  <si>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</si>
  <si>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</si>
  <si>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</si>
  <si>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</si>
  <si>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</si>
  <si>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</si>
  <si>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</si>
  <si>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</si>
  <si>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</si>
  <si>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</si>
  <si>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</si>
  <si>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</si>
  <si>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</si>
  <si>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</si>
  <si>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</si>
  <si>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</si>
  <si>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</si>
  <si>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</si>
  <si>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</si>
  <si>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</si>
  <si>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</si>
  <si>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</si>
  <si>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</si>
  <si>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</si>
  <si>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</si>
  <si>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</si>
  <si>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</si>
  <si>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</si>
  <si>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</si>
  <si>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</si>
  <si>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</si>
  <si>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</si>
  <si>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</si>
  <si>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</si>
  <si>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</si>
  <si>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</si>
  <si>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</si>
  <si>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</si>
  <si>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</si>
  <si>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</si>
  <si>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</si>
  <si>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</si>
  <si>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</si>
  <si>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</si>
  <si>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</si>
  <si>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</si>
  <si>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</si>
  <si>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</si>
  <si>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</si>
  <si>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</si>
  <si>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</si>
  <si>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</si>
  <si>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</si>
  <si>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</si>
  <si>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</si>
  <si>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</si>
  <si>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</si>
  <si>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</si>
  <si>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</si>
  <si>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</si>
  <si>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</si>
  <si>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</si>
  <si>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</si>
  <si>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</si>
  <si>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</si>
  <si>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</si>
  <si>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</si>
  <si>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</si>
  <si>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</si>
  <si>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</si>
  <si>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</si>
  <si>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</si>
  <si>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</si>
  <si>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</si>
  <si>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</si>
  <si>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</si>
  <si>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</si>
  <si>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</si>
  <si>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</si>
  <si>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</si>
  <si>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</si>
  <si>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</si>
  <si>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</si>
  <si>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</si>
  <si>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</si>
  <si>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</si>
  <si>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</si>
  <si>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</si>
  <si>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</si>
  <si>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</si>
  <si>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</si>
  <si>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</si>
  <si>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</si>
  <si>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</si>
  <si>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</si>
  <si>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</si>
  <si>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</si>
  <si>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</si>
  <si>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</si>
  <si>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</si>
  <si>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</si>
  <si>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</si>
  <si>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</si>
  <si>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</si>
  <si>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</si>
  <si>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</si>
  <si>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</si>
  <si>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</si>
  <si>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</si>
  <si>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</si>
  <si>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</si>
  <si>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</si>
  <si>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</si>
  <si>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</si>
  <si>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</si>
  <si>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</si>
  <si>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</si>
  <si>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</si>
  <si>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</si>
  <si>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</si>
  <si>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</si>
  <si>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</si>
  <si>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</si>
  <si>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</si>
  <si>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</si>
  <si>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</si>
  <si>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</si>
  <si>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</si>
  <si>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</si>
  <si>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</si>
  <si>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</si>
  <si>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</si>
  <si>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</si>
  <si>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</si>
  <si>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</si>
  <si>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</si>
  <si>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</si>
  <si>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</si>
  <si>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</si>
  <si>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</si>
  <si>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</si>
  <si>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</si>
  <si>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</si>
  <si>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</si>
  <si>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</si>
  <si>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</si>
  <si>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</si>
  <si>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</si>
  <si>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</si>
  <si>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</si>
  <si>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</si>
  <si>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</si>
  <si>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</si>
  <si>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</si>
  <si>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</si>
  <si>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</si>
  <si>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</si>
  <si>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</si>
  <si>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</si>
  <si>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</si>
  <si>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</si>
  <si>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</si>
  <si>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</si>
  <si>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</si>
  <si>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</si>
  <si>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</si>
  <si>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</si>
  <si>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</si>
  <si>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</si>
  <si>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</si>
  <si>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</si>
  <si>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</si>
  <si>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</si>
  <si>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</si>
  <si>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</si>
  <si>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</si>
  <si>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</si>
  <si>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</si>
  <si>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</si>
  <si>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</si>
  <si>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</si>
  <si>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</si>
  <si>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</si>
  <si>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</si>
  <si>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</si>
  <si>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</si>
  <si>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</si>
  <si>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</si>
  <si>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</si>
  <si>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</si>
  <si>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</si>
  <si>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</si>
  <si>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</si>
  <si>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</si>
  <si>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</si>
  <si>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</si>
  <si>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</si>
  <si>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</si>
  <si>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</si>
  <si>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</si>
  <si>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</si>
  <si>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</si>
  <si>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</si>
  <si>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</si>
  <si>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</si>
  <si>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</si>
  <si>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</si>
  <si>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</si>
  <si>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</si>
  <si>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</si>
  <si>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</si>
  <si>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</si>
  <si>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</si>
  <si>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</si>
  <si>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</si>
  <si>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</si>
  <si>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</si>
  <si>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</si>
  <si>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</si>
  <si>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</si>
  <si>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</si>
  <si>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</si>
  <si>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</si>
  <si>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</si>
  <si>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</si>
  <si>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</si>
  <si>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</si>
  <si>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</si>
  <si>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</si>
  <si>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</si>
  <si>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</si>
  <si>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</si>
  <si>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</si>
  <si>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</si>
  <si>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</si>
  <si>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</si>
  <si>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</si>
  <si>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</si>
  <si>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</si>
  <si>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</si>
  <si>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</si>
  <si>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</si>
  <si>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</si>
  <si>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</si>
  <si>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</si>
  <si>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</si>
  <si>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</si>
  <si>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</si>
  <si>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</si>
  <si>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</si>
  <si>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</si>
  <si>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</si>
  <si>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</si>
  <si>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</si>
  <si>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</si>
  <si>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</si>
  <si>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</si>
  <si>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</si>
  <si>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</si>
  <si>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</si>
  <si>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</si>
  <si>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</si>
  <si>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</si>
  <si>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</si>
  <si>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</si>
  <si>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</si>
  <si>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</si>
  <si>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</si>
  <si>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</si>
  <si>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</si>
  <si>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</si>
  <si>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</si>
  <si>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</si>
  <si>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</si>
  <si>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</si>
  <si>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</si>
  <si>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</si>
  <si>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</si>
  <si>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</si>
  <si>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</si>
  <si>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</si>
  <si>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</si>
  <si>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</si>
  <si>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</si>
  <si>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</si>
  <si>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</si>
  <si>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</si>
  <si>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</si>
  <si>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</si>
  <si>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</si>
  <si>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</si>
  <si>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</si>
  <si>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</si>
  <si>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</si>
  <si>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</si>
  <si>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</si>
  <si>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</si>
  <si>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</si>
  <si>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</si>
  <si>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</si>
  <si>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</si>
  <si>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</si>
  <si>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</si>
  <si>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</si>
  <si>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</si>
  <si>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</si>
  <si>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</si>
  <si>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</si>
  <si>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</si>
  <si>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</si>
  <si>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</si>
  <si>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</si>
  <si>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</si>
  <si>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</si>
  <si>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</si>
  <si>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</si>
  <si>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</si>
  <si>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</si>
  <si>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</si>
  <si>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</si>
  <si>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</si>
  <si>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</si>
  <si>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</si>
  <si>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</si>
  <si>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</si>
  <si>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</si>
  <si>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</si>
  <si>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</si>
  <si>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</si>
  <si>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</si>
  <si>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</si>
  <si>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</si>
  <si>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</si>
  <si>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</si>
  <si>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</si>
  <si>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</si>
  <si>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</si>
  <si>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</si>
  <si>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</si>
  <si>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</si>
  <si>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</si>
  <si>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</si>
  <si>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</si>
  <si>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</si>
  <si>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</si>
  <si>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</si>
  <si>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</si>
  <si>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</si>
  <si>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</si>
  <si>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</si>
  <si>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</si>
  <si>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</si>
  <si>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</si>
  <si>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</si>
  <si>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</si>
  <si>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</si>
  <si>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</si>
  <si>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</si>
  <si>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</si>
  <si>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</si>
  <si>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</si>
  <si>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</si>
  <si>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</si>
  <si>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</si>
  <si>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</si>
  <si>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</si>
  <si>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</si>
  <si>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</si>
  <si>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</si>
  <si>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</si>
  <si>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</si>
  <si>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</si>
  <si>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</si>
  <si>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</si>
  <si>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</si>
  <si>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</si>
  <si>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</si>
  <si>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</si>
  <si>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</si>
  <si>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</si>
  <si>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</si>
  <si>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</si>
  <si>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</si>
  <si>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</si>
  <si>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</si>
  <si>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</si>
  <si>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</si>
  <si>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</si>
  <si>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</si>
  <si>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</si>
  <si>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</si>
  <si>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</si>
  <si>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</si>
  <si>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</si>
  <si>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</si>
  <si>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</si>
  <si>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</si>
  <si>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</si>
  <si>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</si>
  <si>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</si>
  <si>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</si>
  <si>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</si>
  <si>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</si>
  <si>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</si>
  <si>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</si>
  <si>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</si>
  <si>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</si>
  <si>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</si>
  <si>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</si>
  <si>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</si>
  <si>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</si>
  <si>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</si>
  <si>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</si>
  <si>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</si>
  <si>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</si>
  <si>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</si>
  <si>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</si>
  <si>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</si>
  <si>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</si>
  <si>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</si>
  <si>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</si>
  <si>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</si>
  <si>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</si>
  <si>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</si>
  <si>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</si>
  <si>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</si>
  <si>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</si>
  <si>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</si>
  <si>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</si>
  <si>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</si>
  <si>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</si>
  <si>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</si>
  <si>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</si>
  <si>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</si>
  <si>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</si>
  <si>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</si>
  <si>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</si>
  <si>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</si>
  <si>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</si>
  <si>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</si>
  <si>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</si>
  <si>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</si>
  <si>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</si>
  <si>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</si>
  <si>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</si>
  <si>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</si>
  <si>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</si>
  <si>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</si>
  <si>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</si>
  <si>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</si>
  <si>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</si>
  <si>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</si>
  <si>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</si>
  <si>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</si>
  <si>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</si>
  <si>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</si>
  <si>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</si>
  <si>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</si>
  <si>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</si>
  <si>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</si>
  <si>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</si>
  <si>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</si>
  <si>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</si>
  <si>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</si>
  <si>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</si>
  <si>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</si>
  <si>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</si>
  <si>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</si>
  <si>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</si>
  <si>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</si>
  <si>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</si>
  <si>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</si>
  <si>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</si>
  <si>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</si>
  <si>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</si>
  <si>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</si>
  <si>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</si>
  <si>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</si>
  <si>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</si>
  <si>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</si>
  <si>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</si>
  <si>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</si>
  <si>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</si>
  <si>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</si>
  <si>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</si>
  <si>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</si>
  <si>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</si>
  <si>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</si>
  <si>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</si>
  <si>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</si>
  <si>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</si>
  <si>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</si>
  <si>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</si>
  <si>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</si>
  <si>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</si>
  <si>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</si>
  <si>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</si>
  <si>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</si>
  <si>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</si>
  <si>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</si>
  <si>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</si>
  <si>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</si>
  <si>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</si>
  <si>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</si>
  <si>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</si>
  <si>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</si>
  <si>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</si>
  <si>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</si>
  <si>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</si>
  <si>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</si>
  <si>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</si>
  <si>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</si>
  <si>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</si>
  <si>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</si>
  <si>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</si>
  <si>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</si>
  <si>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</si>
  <si>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</si>
  <si>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</si>
  <si>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</si>
  <si>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</si>
  <si>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</si>
  <si>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</si>
  <si>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</si>
  <si>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</si>
  <si>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</si>
  <si>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</si>
  <si>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</si>
  <si>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</si>
  <si>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</si>
  <si>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</si>
  <si>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</si>
  <si>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</si>
  <si>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</si>
  <si>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</si>
  <si>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</si>
  <si>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</si>
  <si>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</si>
  <si>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</si>
  <si>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</si>
  <si>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</si>
  <si>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</si>
  <si>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</si>
  <si>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</si>
  <si>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</si>
  <si>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</si>
  <si>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</si>
  <si>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</si>
  <si>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</si>
  <si>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</si>
  <si>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</si>
  <si>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</si>
  <si>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</si>
  <si>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</si>
  <si>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</si>
  <si>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</si>
  <si>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</si>
  <si>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</si>
  <si>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</si>
  <si>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</si>
  <si>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</si>
  <si>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</si>
  <si>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</si>
  <si>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</si>
  <si>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</si>
  <si>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</si>
  <si>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</si>
  <si>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</si>
  <si>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</si>
  <si>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</si>
  <si>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</si>
  <si>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</si>
  <si>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</si>
  <si>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</si>
  <si>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</si>
  <si>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</si>
  <si>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</si>
  <si>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</si>
  <si>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</si>
  <si>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</si>
  <si>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</si>
  <si>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</si>
  <si>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</si>
  <si>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</si>
  <si>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</si>
  <si>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</si>
  <si>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</si>
  <si>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</si>
  <si>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</si>
  <si>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</si>
  <si>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</si>
  <si>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</si>
  <si>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</si>
  <si>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</si>
  <si>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</si>
  <si>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</si>
  <si>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</si>
  <si>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</si>
  <si>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</si>
  <si>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</si>
  <si>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</si>
  <si>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</si>
  <si>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</si>
  <si>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</si>
  <si>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</si>
  <si>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</si>
  <si>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</si>
  <si>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</si>
  <si>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</si>
  <si>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</si>
  <si>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</si>
  <si>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</si>
  <si>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</si>
  <si>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</si>
  <si>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</si>
  <si>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</si>
  <si>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</si>
  <si>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</si>
  <si>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</si>
  <si>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</si>
  <si>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</si>
  <si>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</si>
  <si>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</si>
  <si>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</si>
  <si>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</si>
  <si>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</si>
  <si>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</si>
  <si>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</si>
  <si>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</si>
  <si>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</si>
  <si>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</si>
  <si>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</si>
  <si>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</si>
  <si>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</si>
  <si>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</si>
  <si>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</si>
  <si>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</si>
  <si>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</si>
  <si>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</si>
  <si>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</si>
  <si>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</si>
  <si>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</si>
  <si>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</si>
  <si>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</si>
  <si>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</si>
  <si>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</si>
  <si>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</si>
  <si>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</si>
  <si>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</si>
  <si>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</si>
  <si>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</si>
  <si>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</si>
  <si>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</si>
  <si>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</si>
  <si>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</si>
  <si>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</si>
  <si>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</si>
  <si>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</si>
  <si>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</si>
  <si>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</si>
  <si>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</si>
  <si>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</si>
  <si>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</si>
  <si>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</si>
  <si>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</si>
  <si>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</si>
  <si>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</si>
  <si>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</si>
  <si>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</si>
  <si>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</si>
  <si>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</si>
  <si>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</si>
  <si>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</si>
  <si>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</si>
  <si>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</si>
  <si>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</si>
  <si>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</si>
  <si>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</si>
  <si>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</si>
  <si>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</si>
  <si>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</si>
  <si>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</si>
  <si>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</si>
  <si>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</si>
  <si>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</si>
  <si>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</si>
  <si>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</si>
  <si>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</si>
  <si>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</si>
  <si>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</si>
  <si>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</si>
  <si>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</si>
  <si>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</si>
  <si>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</si>
  <si>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</si>
  <si>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</si>
  <si>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VIC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</si>
</sst>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l7Ir3yJoch7L+BQ97Ubch6l5fFMmZql9y4dIgbw05SGmhoRe+kdY6u0ewv474HTcmU5TSksukUb2p5ncTE26Q==" saltValue="e1Tb1j6rX67akAlRtiyZ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100</v>
      </c>
      <c r="D10" s="225">
        <f>IF(ISNUMBER(Datos!I10),Datos!I10," - ")</f>
        <v>100</v>
      </c>
      <c r="E10" s="226">
        <f>IF(ISNUMBER(Datos!J10),Datos!J10," - ")</f>
        <v>30</v>
      </c>
      <c r="F10" s="226">
        <f>IF(ISNUMBER(Datos!K10),Datos!K10," - ")</f>
        <v>23</v>
      </c>
      <c r="G10" s="1034" t="str">
        <f>IF(Datos!E10&lt;&gt;"",Datos!E10,Datos!D10)</f>
        <v>37</v>
      </c>
      <c r="H10" s="227">
        <f>IF(ISNUMBER(Datos!L10),Datos!L10," - ")</f>
        <v>107</v>
      </c>
      <c r="I10" s="1044" t="str">
        <f>IF(ISNUMBER(Datos!AS10/Datos!BM10),Datos!AS10/Datos!BM10," - ")</f>
        <v xml:space="preserve"> - </v>
      </c>
      <c r="J10" s="1045">
        <f>IF(ISNUMBER(Datos!BY10/Datos!CN10),Datos!BY10/Datos!CN10," - ")</f>
        <v>0</v>
      </c>
      <c r="K10" s="230">
        <f t="shared" ref="K10:K12" si="1">IF(ISNUMBER((E10-F10)/C10),(E10-F10)/C10," - ")</f>
        <v>7.0000000000000007E-2</v>
      </c>
      <c r="L10" s="1025">
        <f>IF(ISNUMBER(NºAsuntos!I10/NºAsuntos!G10),(NºAsuntos!I10/NºAsuntos!G10)*11," - ")</f>
        <v>51.173913043478265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36.01596715328467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100</v>
      </c>
      <c r="D13" s="1049">
        <f>SUBTOTAL(9,D9:D12)</f>
        <v>100</v>
      </c>
      <c r="E13" s="1050">
        <f>SUBTOTAL(9,E9:E12)</f>
        <v>30</v>
      </c>
      <c r="F13" s="1051">
        <f>SUBTOTAL(9,F9:F12)</f>
        <v>23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2922</v>
      </c>
      <c r="D16" s="225">
        <f>IF(ISNUMBER(IF(D_I="SI",Datos!I16,Datos!I16+Datos!AC16)),IF(D_I="SI",Datos!I16,Datos!I16+Datos!AC16)," - ")</f>
        <v>3055</v>
      </c>
      <c r="E16" s="226">
        <f>IF(ISNUMBER(IF(D_I="SI",Datos!J16,Datos!J16+Datos!AD16)),IF(D_I="SI",Datos!J16,Datos!J16+Datos!AD16)," - ")</f>
        <v>1574</v>
      </c>
      <c r="F16" s="226">
        <f>IF(ISNUMBER(IF(D_I="SI",Datos!K16,Datos!K16+Datos!AE16)),IF(D_I="SI",Datos!K16,Datos!K16+Datos!AE16)," - ")</f>
        <v>1443</v>
      </c>
      <c r="G16" s="1034" t="str">
        <f>IF(Datos!E16&lt;&gt;"",Datos!E16,Datos!D16)</f>
        <v>04</v>
      </c>
      <c r="H16" s="227">
        <f>IF(ISNUMBER(IF(D_I="SI",Datos!L16,Datos!L16+Datos!AF16)),IF(D_I="SI",Datos!L16,Datos!L16+Datos!AF16)," - ")</f>
        <v>3053</v>
      </c>
      <c r="I16" s="1044" t="str">
        <f>IF(ISNUMBER(Datos!AS16/Datos!BM16),Datos!AS16/Datos!BM16," - ")</f>
        <v xml:space="preserve"> - </v>
      </c>
      <c r="J16" s="1045">
        <f>IF(ISNUMBER(Datos!BY16/Datos!CN16),Datos!BY16/Datos!CN16," - ")</f>
        <v>0</v>
      </c>
      <c r="K16" s="230">
        <f t="shared" si="3"/>
        <v>4.4832306639288159E-2</v>
      </c>
      <c r="L16" s="1025">
        <f>IF(ISNUMBER(NºAsuntos!I16/NºAsuntos!G16),(NºAsuntos!I16/NºAsuntos!G16)*11," - ")</f>
        <v>23.273042273042272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103</v>
      </c>
      <c r="D17" s="225">
        <f>IF(ISNUMBER(IF(D_I="SI",Datos!I17,Datos!I17+Datos!AC17)),IF(D_I="SI",Datos!I17,Datos!I17+Datos!AC17)," - ")</f>
        <v>102</v>
      </c>
      <c r="E17" s="226">
        <f>IF(ISNUMBER(IF(D_I="SI",Datos!J17,Datos!J17+Datos!AD17)),IF(D_I="SI",Datos!J17,Datos!J17+Datos!AD17)," - ")</f>
        <v>169</v>
      </c>
      <c r="F17" s="226">
        <f>IF(ISNUMBER(IF(D_I="SI",Datos!K17,Datos!K17+Datos!AE17)),IF(D_I="SI",Datos!K17,Datos!K17+Datos!AE17)," - ")</f>
        <v>192</v>
      </c>
      <c r="G17" s="1034" t="str">
        <f>IF(Datos!E17&lt;&gt;"",Datos!E17,Datos!D17)</f>
        <v>37</v>
      </c>
      <c r="H17" s="227">
        <f>IF(ISNUMBER(IF(D_I="SI",Datos!L17,Datos!L17+Datos!AF17)),IF(D_I="SI",Datos!L17,Datos!L17+Datos!AF17)," - ")</f>
        <v>80</v>
      </c>
      <c r="I17" s="1044" t="str">
        <f>IF(ISNUMBER(Datos!AS17/Datos!BM17),Datos!AS17/Datos!BM17," - ")</f>
        <v xml:space="preserve"> - </v>
      </c>
      <c r="J17" s="1045" t="str">
        <f>IF(ISNUMBER((Datos!BY17+Datos!BZ17)/Datos!CN17),(Datos!BY17+Datos!BZ17)/Datos!CN17," - ")</f>
        <v xml:space="preserve"> - </v>
      </c>
      <c r="K17" s="230">
        <f t="shared" si="3"/>
        <v>-0.22330097087378642</v>
      </c>
      <c r="L17" s="1025">
        <f>IF(ISNUMBER(NºAsuntos!I17/NºAsuntos!G17),(NºAsuntos!I17/NºAsuntos!G17)*11," - ")</f>
        <v>4.5833333333333339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3025</v>
      </c>
      <c r="D18" s="1049">
        <f>SUBTOTAL(9,D15:D17)</f>
        <v>3157</v>
      </c>
      <c r="E18" s="1050">
        <f>SUBTOTAL(9,E15:E17)</f>
        <v>1743</v>
      </c>
      <c r="F18" s="1050">
        <f>SUBTOTAL(9,F15:F17)</f>
        <v>1635</v>
      </c>
      <c r="G18" s="1052" t="str">
        <f ca="1">INDIRECT(CONCATENATE("G",ROW()-1))</f>
        <v>37</v>
      </c>
      <c r="H18" s="1053">
        <f ca="1">SUMIF(G$14:G17,G18,H$14:H17)</f>
        <v>80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3125</v>
      </c>
      <c r="D19" s="1071">
        <f>SUBTOTAL(9,D9:D18)</f>
        <v>3257</v>
      </c>
      <c r="E19" s="1072">
        <f>SUBTOTAL(9,E9:E18)</f>
        <v>1773</v>
      </c>
      <c r="F19" s="1072">
        <f>SUBTOTAL(9,F9:F18)</f>
        <v>1658</v>
      </c>
      <c r="G19" s="1073"/>
      <c r="H19" s="1074">
        <f ca="1">SUMIF(B9:B18,"TOTAL",H9:H18)</f>
        <v>80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gOAg4QcU63yaIPnYk6XZR/DD5cFnu1kFalxnEBT1jfPW4O5Igm9h9FKeGZlpRKrTvs7TO6+yiIUkzH5Z3bsrTg==" saltValue="OkA9E9apBIB9SuqXh97o2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5uvngziBY7A34UPg6mpCahK0+ivs9Vjt1Zkp8J6gpv6Zv/4tVYDCs4gtnfEfoLzPf8/l4GHZsX4J+MZ1oW12Q==" saltValue="wAPprb6/Q5Z5ZHfl5Qj3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100</v>
      </c>
      <c r="J10" s="181">
        <v>30</v>
      </c>
      <c r="K10" s="181">
        <v>23</v>
      </c>
      <c r="L10" s="181">
        <v>107</v>
      </c>
      <c r="M10" s="181">
        <v>11</v>
      </c>
      <c r="N10" s="181">
        <v>7</v>
      </c>
      <c r="O10" s="181">
        <v>7</v>
      </c>
      <c r="P10" s="181">
        <v>4</v>
      </c>
      <c r="Q10" s="181">
        <v>22</v>
      </c>
      <c r="R10" s="181">
        <v>55</v>
      </c>
      <c r="S10" s="181">
        <v>95</v>
      </c>
      <c r="T10" s="181">
        <v>23</v>
      </c>
      <c r="U10" s="181">
        <v>27</v>
      </c>
      <c r="V10" s="181">
        <v>91</v>
      </c>
      <c r="W10" s="181">
        <v>11</v>
      </c>
      <c r="X10" s="188">
        <v>10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95</v>
      </c>
      <c r="AZ10" s="129">
        <f t="shared" si="0"/>
        <v>23</v>
      </c>
      <c r="BA10" s="129">
        <f t="shared" si="0"/>
        <v>27</v>
      </c>
      <c r="BB10" s="129">
        <f t="shared" si="0"/>
        <v>91</v>
      </c>
      <c r="BC10" s="125">
        <f t="shared" si="0"/>
        <v>11</v>
      </c>
      <c r="BD10" s="126">
        <f>IF(ISNUMBER(BA10/AZ10),BA10/AZ10," - ")</f>
        <v>1.173913043478261</v>
      </c>
      <c r="BE10" s="127">
        <f>IF(ISNUMBER(BB10/BA10),BB10/BA10, " - ")</f>
        <v>3.3703703703703702</v>
      </c>
      <c r="BF10" s="127">
        <f>IF(ISNUMBER(BC10/BA10),BC10/BA10, " - ")</f>
        <v>0.40740740740740738</v>
      </c>
      <c r="BG10" s="196">
        <f>IF(ISNUMBER((AY10+AZ10)/BA10),(AY10+AZ10)/BA10," - ")</f>
        <v>4.3703703703703702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7774</v>
      </c>
      <c r="J12" s="183">
        <v>1398</v>
      </c>
      <c r="K12" s="183">
        <v>2108</v>
      </c>
      <c r="L12" s="183">
        <v>7058</v>
      </c>
      <c r="M12" s="183">
        <v>536</v>
      </c>
      <c r="N12" s="183">
        <v>1007</v>
      </c>
      <c r="O12" s="181">
        <v>831</v>
      </c>
      <c r="P12" s="183">
        <v>623</v>
      </c>
      <c r="Q12" s="183">
        <v>747</v>
      </c>
      <c r="R12" s="183">
        <v>8286</v>
      </c>
      <c r="S12" s="183">
        <v>6132</v>
      </c>
      <c r="T12" s="183">
        <v>1625</v>
      </c>
      <c r="U12" s="183">
        <v>1534</v>
      </c>
      <c r="V12" s="183">
        <v>6181</v>
      </c>
      <c r="W12" s="183">
        <v>365</v>
      </c>
      <c r="X12" s="189">
        <v>652</v>
      </c>
      <c r="Y12" s="191">
        <v>89</v>
      </c>
      <c r="Z12" s="181">
        <v>114</v>
      </c>
      <c r="AA12" s="181">
        <v>84</v>
      </c>
      <c r="AB12" s="181">
        <v>119</v>
      </c>
      <c r="AC12" s="183">
        <v>0</v>
      </c>
      <c r="AD12" s="183">
        <v>0</v>
      </c>
      <c r="AE12" s="183">
        <v>0</v>
      </c>
      <c r="AF12" s="189">
        <v>0</v>
      </c>
      <c r="AG12" s="202">
        <v>103</v>
      </c>
      <c r="AH12" s="183">
        <v>102</v>
      </c>
      <c r="AI12" s="183">
        <v>125</v>
      </c>
      <c r="AJ12" s="203">
        <v>80</v>
      </c>
      <c r="AK12" s="182">
        <v>0</v>
      </c>
      <c r="AL12" s="183">
        <v>0</v>
      </c>
      <c r="AM12" s="183">
        <v>0</v>
      </c>
      <c r="AN12" s="189">
        <v>0</v>
      </c>
      <c r="AO12" s="259">
        <v>6</v>
      </c>
      <c r="AP12" s="155">
        <v>6</v>
      </c>
      <c r="AQ12" s="155">
        <v>5</v>
      </c>
      <c r="AR12" s="154">
        <v>5</v>
      </c>
      <c r="AS12" s="340" t="s">
        <v>794</v>
      </c>
      <c r="AT12" s="203"/>
      <c r="AU12" s="202"/>
      <c r="AV12" s="203"/>
      <c r="AW12" s="202"/>
      <c r="AX12" s="203"/>
      <c r="AY12" s="126">
        <f t="shared" si="1"/>
        <v>6235</v>
      </c>
      <c r="AZ12" s="127">
        <f t="shared" si="1"/>
        <v>1727</v>
      </c>
      <c r="BA12" s="127">
        <f t="shared" si="1"/>
        <v>1659</v>
      </c>
      <c r="BB12" s="127">
        <f t="shared" si="1"/>
        <v>6261</v>
      </c>
      <c r="BC12" s="125">
        <f>IF(ISNUMBER(X12),X12," - ")</f>
        <v>652</v>
      </c>
      <c r="BD12" s="126">
        <f t="shared" si="2"/>
        <v>0.9606253618992473</v>
      </c>
      <c r="BE12" s="127">
        <f t="shared" si="3"/>
        <v>3.7739602169981916</v>
      </c>
      <c r="BF12" s="127">
        <f t="shared" si="4"/>
        <v>0.39300783604581074</v>
      </c>
      <c r="BG12" s="196">
        <f t="shared" si="5"/>
        <v>4.7992766726943943</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7874</v>
      </c>
      <c r="J13" s="184">
        <f t="shared" si="6"/>
        <v>1428</v>
      </c>
      <c r="K13" s="184">
        <f t="shared" si="6"/>
        <v>2131</v>
      </c>
      <c r="L13" s="184">
        <f t="shared" si="6"/>
        <v>7165</v>
      </c>
      <c r="M13" s="184">
        <f t="shared" si="6"/>
        <v>547</v>
      </c>
      <c r="N13" s="184">
        <f t="shared" si="6"/>
        <v>1014</v>
      </c>
      <c r="O13" s="184">
        <f t="shared" si="6"/>
        <v>838</v>
      </c>
      <c r="P13" s="184">
        <f t="shared" si="6"/>
        <v>627</v>
      </c>
      <c r="Q13" s="184">
        <f t="shared" si="6"/>
        <v>769</v>
      </c>
      <c r="R13" s="184">
        <f t="shared" si="6"/>
        <v>8341</v>
      </c>
      <c r="S13" s="184">
        <f t="shared" si="6"/>
        <v>6227</v>
      </c>
      <c r="T13" s="184">
        <f t="shared" si="6"/>
        <v>1648</v>
      </c>
      <c r="U13" s="184">
        <f t="shared" si="6"/>
        <v>1561</v>
      </c>
      <c r="V13" s="184">
        <f t="shared" si="6"/>
        <v>6272</v>
      </c>
      <c r="W13" s="184">
        <f t="shared" si="6"/>
        <v>376</v>
      </c>
      <c r="X13" s="184">
        <f t="shared" si="6"/>
        <v>662</v>
      </c>
      <c r="Y13" s="184">
        <f t="shared" si="6"/>
        <v>89</v>
      </c>
      <c r="Z13" s="184">
        <f t="shared" si="6"/>
        <v>114</v>
      </c>
      <c r="AA13" s="184">
        <f t="shared" si="6"/>
        <v>84</v>
      </c>
      <c r="AB13" s="184">
        <f t="shared" si="6"/>
        <v>119</v>
      </c>
      <c r="AC13" s="184">
        <f t="shared" si="6"/>
        <v>0</v>
      </c>
      <c r="AD13" s="184">
        <f t="shared" si="6"/>
        <v>0</v>
      </c>
      <c r="AE13" s="184">
        <f t="shared" si="6"/>
        <v>0</v>
      </c>
      <c r="AF13" s="184">
        <f>SUBTOTAL(9,AF9:AF12)</f>
        <v>0</v>
      </c>
      <c r="AG13" s="184">
        <f t="shared" ref="AG13:AT13" si="7">SUBTOTAL(9,AG8:AG12)</f>
        <v>103</v>
      </c>
      <c r="AH13" s="184">
        <f t="shared" si="7"/>
        <v>102</v>
      </c>
      <c r="AI13" s="184">
        <f t="shared" si="7"/>
        <v>125</v>
      </c>
      <c r="AJ13" s="184">
        <f t="shared" si="7"/>
        <v>80</v>
      </c>
      <c r="AK13" s="184">
        <f t="shared" si="7"/>
        <v>0</v>
      </c>
      <c r="AL13" s="184">
        <f t="shared" si="7"/>
        <v>0</v>
      </c>
      <c r="AM13" s="184">
        <f t="shared" si="7"/>
        <v>0</v>
      </c>
      <c r="AN13" s="184">
        <f t="shared" si="7"/>
        <v>0</v>
      </c>
      <c r="AO13" s="184">
        <f t="shared" si="7"/>
        <v>7</v>
      </c>
      <c r="AP13" s="184">
        <f t="shared" si="7"/>
        <v>6</v>
      </c>
      <c r="AQ13" s="184">
        <f t="shared" si="7"/>
        <v>5</v>
      </c>
      <c r="AR13" s="184">
        <f t="shared" si="7"/>
        <v>5</v>
      </c>
      <c r="AS13" s="184">
        <f t="shared" si="7"/>
        <v>0</v>
      </c>
      <c r="AT13" s="184">
        <f t="shared" si="7"/>
        <v>0</v>
      </c>
      <c r="AU13" s="204"/>
      <c r="AV13" s="132"/>
      <c r="AW13" s="204"/>
      <c r="AX13" s="132"/>
      <c r="AY13" s="184">
        <f>SUBTOTAL(9,AY8:AY12)</f>
        <v>6330</v>
      </c>
      <c r="AZ13" s="184">
        <f>SUBTOTAL(9,AZ8:AZ12)</f>
        <v>1750</v>
      </c>
      <c r="BA13" s="184">
        <f>SUBTOTAL(9,BA8:BA12)</f>
        <v>1686</v>
      </c>
      <c r="BB13" s="184">
        <f>SUBTOTAL(9,BB8:BB12)</f>
        <v>6352</v>
      </c>
      <c r="BC13" s="184">
        <f>SUBTOTAL(9,BC8:BC12)</f>
        <v>663</v>
      </c>
      <c r="BD13" s="205">
        <f>IF(ISNUMBER(BA13/AZ13),BA13/AZ13," - ")</f>
        <v>0.96342857142857141</v>
      </c>
      <c r="BE13" s="206">
        <f>IF(ISNUMBER(BB13/BA13),BB13/BA13, " - ")</f>
        <v>3.7674970344009489</v>
      </c>
      <c r="BF13" s="206">
        <f>IF(ISNUMBER(BC13/BA13),BC13/BA13, " - ")</f>
        <v>0.39323843416370108</v>
      </c>
      <c r="BG13" s="207">
        <f>IF(ISNUMBER((AY13+AZ13)/BA13),(AY13+AZ13)/BA13," - ")</f>
        <v>4.7924080664294184</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3055</v>
      </c>
      <c r="J16" s="183">
        <v>1574</v>
      </c>
      <c r="K16" s="183">
        <v>1443</v>
      </c>
      <c r="L16" s="183">
        <v>3053</v>
      </c>
      <c r="M16" s="183">
        <v>252</v>
      </c>
      <c r="N16" s="183">
        <v>787</v>
      </c>
      <c r="O16" s="181">
        <v>18</v>
      </c>
      <c r="P16" s="183">
        <v>66</v>
      </c>
      <c r="Q16" s="183">
        <v>77</v>
      </c>
      <c r="R16" s="183">
        <v>318</v>
      </c>
      <c r="S16" s="183">
        <v>2516</v>
      </c>
      <c r="T16" s="183">
        <v>1776</v>
      </c>
      <c r="U16" s="183">
        <v>1568</v>
      </c>
      <c r="V16" s="183">
        <v>2794</v>
      </c>
      <c r="W16" s="183">
        <v>259</v>
      </c>
      <c r="X16" s="189">
        <v>961</v>
      </c>
      <c r="Y16" s="202">
        <v>0</v>
      </c>
      <c r="Z16" s="183">
        <v>0</v>
      </c>
      <c r="AA16" s="183">
        <v>0</v>
      </c>
      <c r="AB16" s="183">
        <v>0</v>
      </c>
      <c r="AC16" s="183">
        <v>2</v>
      </c>
      <c r="AD16" s="183">
        <v>8</v>
      </c>
      <c r="AE16" s="183">
        <v>9</v>
      </c>
      <c r="AF16" s="189">
        <v>1</v>
      </c>
      <c r="AG16" s="202">
        <v>0</v>
      </c>
      <c r="AH16" s="183">
        <v>0</v>
      </c>
      <c r="AI16" s="183">
        <v>0</v>
      </c>
      <c r="AJ16" s="203">
        <v>0</v>
      </c>
      <c r="AK16" s="182">
        <v>1</v>
      </c>
      <c r="AL16" s="183">
        <v>10</v>
      </c>
      <c r="AM16" s="183">
        <v>8</v>
      </c>
      <c r="AN16" s="189">
        <v>3</v>
      </c>
      <c r="AO16" s="259">
        <v>6</v>
      </c>
      <c r="AP16" s="155">
        <v>6</v>
      </c>
      <c r="AQ16" s="155">
        <v>5</v>
      </c>
      <c r="AR16" s="155">
        <v>5</v>
      </c>
      <c r="AS16" s="340" t="s">
        <v>487</v>
      </c>
      <c r="AT16" s="203"/>
      <c r="AU16" s="202"/>
      <c r="AV16" s="203"/>
      <c r="AW16" s="202"/>
      <c r="AX16" s="203"/>
      <c r="AY16" s="126">
        <f t="shared" si="9"/>
        <v>2516</v>
      </c>
      <c r="AZ16" s="127">
        <f t="shared" si="9"/>
        <v>1776</v>
      </c>
      <c r="BA16" s="127">
        <f t="shared" si="9"/>
        <v>1568</v>
      </c>
      <c r="BB16" s="127">
        <f t="shared" si="9"/>
        <v>2794</v>
      </c>
      <c r="BC16" s="125">
        <f>IF(ISNUMBER(W16),W16," - ")</f>
        <v>259</v>
      </c>
      <c r="BD16" s="126">
        <f t="shared" ref="BD16" si="11">IF(ISNUMBER(BA16/AZ16),BA16/AZ16," - ")</f>
        <v>0.88288288288288286</v>
      </c>
      <c r="BE16" s="127">
        <f t="shared" ref="BE16" si="12">IF(ISNUMBER(BB16/BA16),BB16/BA16, " - ")</f>
        <v>1.7818877551020409</v>
      </c>
      <c r="BF16" s="127">
        <f t="shared" ref="BF16" si="13">IF(ISNUMBER(BC16/BA16),BC16/BA16, " - ")</f>
        <v>0.16517857142857142</v>
      </c>
      <c r="BG16" s="196">
        <f t="shared" si="10"/>
        <v>2.7372448979591835</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102</v>
      </c>
      <c r="J17" s="183">
        <v>169</v>
      </c>
      <c r="K17" s="183">
        <v>192</v>
      </c>
      <c r="L17" s="183">
        <v>80</v>
      </c>
      <c r="M17" s="183">
        <v>27</v>
      </c>
      <c r="N17" s="183">
        <v>133</v>
      </c>
      <c r="O17" s="183">
        <v>0</v>
      </c>
      <c r="P17" s="183">
        <v>2</v>
      </c>
      <c r="Q17" s="183">
        <v>2</v>
      </c>
      <c r="R17" s="183">
        <v>3</v>
      </c>
      <c r="S17" s="183">
        <v>150</v>
      </c>
      <c r="T17" s="183">
        <v>133</v>
      </c>
      <c r="U17" s="183">
        <v>181</v>
      </c>
      <c r="V17" s="183">
        <v>132</v>
      </c>
      <c r="W17" s="183">
        <v>12</v>
      </c>
      <c r="X17" s="189">
        <v>147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150</v>
      </c>
      <c r="AZ17" s="129">
        <f t="shared" si="14"/>
        <v>133</v>
      </c>
      <c r="BA17" s="129">
        <f t="shared" si="14"/>
        <v>181</v>
      </c>
      <c r="BB17" s="129">
        <f t="shared" si="14"/>
        <v>132</v>
      </c>
      <c r="BC17" s="125">
        <f>IF(ISNUMBER(W17),W17," - ")</f>
        <v>12</v>
      </c>
      <c r="BD17" s="126">
        <f>IF(ISNUMBER(BA17/AZ17),BA17/AZ17," - ")</f>
        <v>1.3609022556390977</v>
      </c>
      <c r="BE17" s="127">
        <f>IF(ISNUMBER(BB17/BA17),BB17/BA17, " - ")</f>
        <v>0.72928176795580113</v>
      </c>
      <c r="BF17" s="127">
        <f>IF(ISNUMBER(BC17/BA17),BC17/BA17, " - ")</f>
        <v>6.6298342541436461E-2</v>
      </c>
      <c r="BG17" s="196">
        <f>IF(ISNUMBER((AY17+AZ17)/BA17),(AY17+AZ17)/BA17," - ")</f>
        <v>1.5635359116022098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3157</v>
      </c>
      <c r="J18" s="184">
        <f t="shared" si="15"/>
        <v>1743</v>
      </c>
      <c r="K18" s="184">
        <f t="shared" si="15"/>
        <v>1635</v>
      </c>
      <c r="L18" s="184">
        <f t="shared" si="15"/>
        <v>3133</v>
      </c>
      <c r="M18" s="184">
        <f t="shared" si="15"/>
        <v>279</v>
      </c>
      <c r="N18" s="184">
        <f t="shared" si="15"/>
        <v>920</v>
      </c>
      <c r="O18" s="184">
        <f t="shared" si="15"/>
        <v>18</v>
      </c>
      <c r="P18" s="184">
        <f t="shared" si="15"/>
        <v>68</v>
      </c>
      <c r="Q18" s="184">
        <f t="shared" si="15"/>
        <v>79</v>
      </c>
      <c r="R18" s="184">
        <f t="shared" si="15"/>
        <v>321</v>
      </c>
      <c r="S18" s="184">
        <f t="shared" si="15"/>
        <v>2666</v>
      </c>
      <c r="T18" s="184">
        <f t="shared" si="15"/>
        <v>1909</v>
      </c>
      <c r="U18" s="184">
        <f t="shared" si="15"/>
        <v>1749</v>
      </c>
      <c r="V18" s="184">
        <f t="shared" si="15"/>
        <v>2926</v>
      </c>
      <c r="W18" s="184">
        <f t="shared" si="15"/>
        <v>271</v>
      </c>
      <c r="X18" s="184">
        <f t="shared" si="15"/>
        <v>1108</v>
      </c>
      <c r="Y18" s="184">
        <f t="shared" si="15"/>
        <v>0</v>
      </c>
      <c r="Z18" s="184">
        <f t="shared" si="15"/>
        <v>0</v>
      </c>
      <c r="AA18" s="184">
        <f t="shared" si="15"/>
        <v>0</v>
      </c>
      <c r="AB18" s="184">
        <f t="shared" si="15"/>
        <v>0</v>
      </c>
      <c r="AC18" s="184">
        <f t="shared" si="15"/>
        <v>2</v>
      </c>
      <c r="AD18" s="184">
        <f t="shared" si="15"/>
        <v>8</v>
      </c>
      <c r="AE18" s="184">
        <f t="shared" si="15"/>
        <v>9</v>
      </c>
      <c r="AF18" s="184">
        <f t="shared" si="15"/>
        <v>1</v>
      </c>
      <c r="AG18" s="184">
        <f t="shared" si="15"/>
        <v>0</v>
      </c>
      <c r="AH18" s="184">
        <f t="shared" si="15"/>
        <v>0</v>
      </c>
      <c r="AI18" s="184">
        <f t="shared" si="15"/>
        <v>0</v>
      </c>
      <c r="AJ18" s="184">
        <f t="shared" si="15"/>
        <v>0</v>
      </c>
      <c r="AK18" s="184">
        <f t="shared" si="15"/>
        <v>1</v>
      </c>
      <c r="AL18" s="184">
        <f t="shared" si="15"/>
        <v>10</v>
      </c>
      <c r="AM18" s="184">
        <f t="shared" si="15"/>
        <v>8</v>
      </c>
      <c r="AN18" s="184">
        <f t="shared" si="15"/>
        <v>3</v>
      </c>
      <c r="AO18" s="184">
        <f t="shared" si="15"/>
        <v>7</v>
      </c>
      <c r="AP18" s="184">
        <f t="shared" si="15"/>
        <v>6</v>
      </c>
      <c r="AQ18" s="184">
        <f t="shared" si="15"/>
        <v>5</v>
      </c>
      <c r="AR18" s="184">
        <f t="shared" si="15"/>
        <v>5</v>
      </c>
      <c r="AS18" s="184">
        <f t="shared" si="15"/>
        <v>0</v>
      </c>
      <c r="AT18" s="184">
        <f t="shared" si="15"/>
        <v>0</v>
      </c>
      <c r="AU18" s="204"/>
      <c r="AV18" s="132"/>
      <c r="AW18" s="204"/>
      <c r="AX18" s="132"/>
      <c r="AY18" s="184">
        <f>SUBTOTAL(9,AY14:AY17)</f>
        <v>2666</v>
      </c>
      <c r="AZ18" s="184">
        <f>SUBTOTAL(9,AZ14:AZ17)</f>
        <v>1909</v>
      </c>
      <c r="BA18" s="184">
        <f>SUBTOTAL(9,BA14:BA17)</f>
        <v>1749</v>
      </c>
      <c r="BB18" s="184">
        <f>SUBTOTAL(9,BB14:BB17)</f>
        <v>2926</v>
      </c>
      <c r="BC18" s="184">
        <f>SUBTOTAL(9,BC14:BC17)</f>
        <v>271</v>
      </c>
      <c r="BD18" s="205">
        <f>IF(ISNUMBER(BA18/AZ18),BA18/AZ18," - ")</f>
        <v>0.91618648507071765</v>
      </c>
      <c r="BE18" s="206">
        <f>IF(ISNUMBER(BB18/BA18),BB18/BA18, " - ")</f>
        <v>1.6729559748427674</v>
      </c>
      <c r="BF18" s="206">
        <f>IF(ISNUMBER(BC18/BA18),BC18/BA18, " - ")</f>
        <v>0.15494568324757005</v>
      </c>
      <c r="BG18" s="207">
        <f>IF(ISNUMBER((AY18+AZ18)/BA18),(AY18+AZ18)/BA18," - ")</f>
        <v>2.6157804459691252</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11031</v>
      </c>
      <c r="J19" s="134">
        <f t="shared" si="18"/>
        <v>3171</v>
      </c>
      <c r="K19" s="134">
        <f t="shared" si="18"/>
        <v>3766</v>
      </c>
      <c r="L19" s="134">
        <f t="shared" si="18"/>
        <v>10298</v>
      </c>
      <c r="M19" s="134">
        <f t="shared" si="18"/>
        <v>826</v>
      </c>
      <c r="N19" s="134">
        <f t="shared" si="18"/>
        <v>1934</v>
      </c>
      <c r="O19" s="134">
        <f t="shared" si="18"/>
        <v>856</v>
      </c>
      <c r="P19" s="134">
        <f t="shared" si="18"/>
        <v>695</v>
      </c>
      <c r="Q19" s="134">
        <f t="shared" si="18"/>
        <v>848</v>
      </c>
      <c r="R19" s="134">
        <f t="shared" si="18"/>
        <v>8662</v>
      </c>
      <c r="S19" s="134">
        <f t="shared" si="18"/>
        <v>8893</v>
      </c>
      <c r="T19" s="134">
        <f t="shared" si="18"/>
        <v>3557</v>
      </c>
      <c r="U19" s="134">
        <f t="shared" si="18"/>
        <v>3310</v>
      </c>
      <c r="V19" s="134">
        <f t="shared" si="18"/>
        <v>9198</v>
      </c>
      <c r="W19" s="134">
        <f t="shared" si="18"/>
        <v>647</v>
      </c>
      <c r="X19" s="134">
        <f t="shared" si="18"/>
        <v>1770</v>
      </c>
      <c r="Y19" s="134">
        <f t="shared" si="18"/>
        <v>89</v>
      </c>
      <c r="Z19" s="134">
        <f t="shared" si="18"/>
        <v>114</v>
      </c>
      <c r="AA19" s="134">
        <f t="shared" si="18"/>
        <v>84</v>
      </c>
      <c r="AB19" s="134">
        <f t="shared" si="18"/>
        <v>119</v>
      </c>
      <c r="AC19" s="134">
        <f t="shared" si="18"/>
        <v>2</v>
      </c>
      <c r="AD19" s="134">
        <f t="shared" si="18"/>
        <v>8</v>
      </c>
      <c r="AE19" s="134">
        <f t="shared" si="18"/>
        <v>9</v>
      </c>
      <c r="AF19" s="134">
        <f t="shared" si="18"/>
        <v>1</v>
      </c>
      <c r="AG19" s="134">
        <f t="shared" si="18"/>
        <v>103</v>
      </c>
      <c r="AH19" s="134">
        <f t="shared" si="18"/>
        <v>102</v>
      </c>
      <c r="AI19" s="134">
        <f t="shared" si="18"/>
        <v>125</v>
      </c>
      <c r="AJ19" s="134">
        <f t="shared" si="18"/>
        <v>80</v>
      </c>
      <c r="AK19" s="134">
        <f t="shared" si="18"/>
        <v>1</v>
      </c>
      <c r="AL19" s="134">
        <f t="shared" si="18"/>
        <v>10</v>
      </c>
      <c r="AM19" s="134">
        <f t="shared" si="18"/>
        <v>8</v>
      </c>
      <c r="AN19" s="210">
        <f t="shared" si="18"/>
        <v>3</v>
      </c>
      <c r="AO19" s="211">
        <v>7</v>
      </c>
      <c r="AP19" s="211">
        <v>6</v>
      </c>
      <c r="AQ19" s="211">
        <v>5</v>
      </c>
      <c r="AR19" s="211">
        <v>5</v>
      </c>
      <c r="AS19" s="153">
        <f t="shared" si="18"/>
        <v>0</v>
      </c>
      <c r="AT19" s="153">
        <f t="shared" si="18"/>
        <v>0</v>
      </c>
      <c r="AU19" s="211"/>
      <c r="AV19" s="212"/>
      <c r="AW19" s="211"/>
      <c r="AX19" s="212"/>
      <c r="AY19" s="133">
        <f>SUBTOTAL(9,AY9:AY18)</f>
        <v>8996</v>
      </c>
      <c r="AZ19" s="134">
        <f>SUBTOTAL(9,AZ9:AZ18)</f>
        <v>3659</v>
      </c>
      <c r="BA19" s="134">
        <f>SUBTOTAL(9,BA9:BA18)</f>
        <v>3435</v>
      </c>
      <c r="BB19" s="134">
        <f>SUBTOTAL(9,BB9:BB18)</f>
        <v>9278</v>
      </c>
      <c r="BC19" s="135">
        <f>SUBTOTAL(9,BC9:BC18)</f>
        <v>934</v>
      </c>
      <c r="BD19" s="213">
        <f>IF(ISNUMBER(BA19/AZ19),BA19/AZ19," - ")</f>
        <v>0.93878108772888769</v>
      </c>
      <c r="BE19" s="210">
        <f>IF(ISNUMBER(BB19/BA19),BB19/BA19, " - ")</f>
        <v>2.7010189228529842</v>
      </c>
      <c r="BF19" s="210">
        <f>IF(ISNUMBER(BC19/BA19),BC19/BA19, " - ")</f>
        <v>0.27190684133915577</v>
      </c>
      <c r="BG19" s="135">
        <f>IF(ISNUMBER((AY19+AZ19)/BA19),(AY19+AZ19)/BA19," - ")</f>
        <v>3.6841339155749635</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B/p90aumElYSdMw/bD6rdQQ7PSDD28FPHu5uy1tyVY8dqPag5uzPsbC4Gk2Ot/sJMrf3/Rn+83LyFsIdXfUew==" saltValue="R7+ujnrqoUklUzF+7Kic6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805/BfgWUJkXM56BVQnliOfZZG1uBPw4VxBu5Qm6U8dq8aDkgvH0yBjoKgTUoXtmCuiXcBz72bM/g7cgkivlg==" saltValue="GmfNjI5E4uMGqvpVCTvMj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VIC</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100</v>
      </c>
      <c r="G10" s="333">
        <f>IF(ISNUMBER(Datos!I10),Datos!I10," - ")</f>
        <v>100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23</v>
      </c>
      <c r="AC10" s="226">
        <f>IF(ISNUMBER(Datos!Q10),Datos!Q10," - ")</f>
        <v>22</v>
      </c>
      <c r="AD10" s="334"/>
      <c r="AE10" s="484"/>
      <c r="AF10" s="332">
        <f>IF(ISNUMBER(Datos!L10),Datos!L10,"-")</f>
        <v>107</v>
      </c>
      <c r="AG10" s="334"/>
      <c r="AH10" s="334"/>
      <c r="AI10" s="334"/>
      <c r="AJ10" s="334"/>
      <c r="AK10" s="334"/>
      <c r="AL10" s="479"/>
      <c r="AM10" s="335">
        <f>IF(ISNUMBER(Datos!R10),Datos!R10," - ")</f>
        <v>55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7</v>
      </c>
      <c r="BE10" s="229" t="str">
        <f>IF(ISNUMBER(Datos!BW10),Datos!BW10," - ")</f>
        <v xml:space="preserve"> - </v>
      </c>
      <c r="BF10" s="228" t="str">
        <f>IF(ISNUMBER(Datos!BX10),Datos!BX10," - ")</f>
        <v xml:space="preserve"> - </v>
      </c>
      <c r="BG10" s="243">
        <f>IF(ISNUMBER(Datos!K10/Datos!J10),Datos!K10/Datos!J10," - ")</f>
        <v>0.76666666666666672</v>
      </c>
      <c r="BH10" s="260">
        <f>IF(ISNUMBER(((Datos!L10/Datos!K10)*11)/factor_trimestre),((Datos!L10/Datos!K10)*11)/factor_trimestre," - ")</f>
        <v>13.956521739130437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-0.24657534246575341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114</v>
      </c>
      <c r="O12" s="334"/>
      <c r="P12" s="334"/>
      <c r="Q12" s="226">
        <f>IF(ISNUMBER(Datos!P12),Datos!P12,0)</f>
        <v>623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747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119</v>
      </c>
      <c r="AI12" s="334" t="str">
        <f>IF(ISNUMBER(Datos!CD12),Datos!CD12,"-")</f>
        <v>-</v>
      </c>
      <c r="AJ12" s="334" t="str">
        <f>IF(ISNUMBER(Datos!EN12),Datos!EN12," - ")</f>
        <v xml:space="preserve"> - </v>
      </c>
      <c r="AK12" s="334"/>
      <c r="AL12" s="479"/>
      <c r="AM12" s="335">
        <f>IF(ISNUMBER(Datos!R12),Datos!R12," - ")</f>
        <v>8286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536</v>
      </c>
      <c r="BD12" s="229">
        <f>IF(ISNUMBER(Datos!N12),Datos!N12," - ")</f>
        <v>1007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1.4497354497354498</v>
      </c>
      <c r="BH12" s="260">
        <f>IF(ISNUMBER(((IF(J_V="SI",Datos!L12/Datos!K12,(Datos!L12+Datos!AB12)/(Datos!K12+Datos!AA12)))*11)/factor_trimestre),((IF(J_V="SI",Datos!L12/Datos!K12,(Datos!L12+Datos!AB12)/(Datos!K12+Datos!AA12)))*11)/factor_trimestre," - ")</f>
        <v>9.8225364963503647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-1.4744351961950059E-2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100</v>
      </c>
      <c r="G13" s="898">
        <f t="shared" si="0"/>
        <v>100</v>
      </c>
      <c r="H13" s="899">
        <f t="shared" si="0"/>
        <v>0</v>
      </c>
      <c r="I13" s="898">
        <f t="shared" si="0"/>
        <v>0</v>
      </c>
      <c r="J13" s="867">
        <f t="shared" si="0"/>
        <v>0</v>
      </c>
      <c r="K13" s="867">
        <f t="shared" si="0"/>
        <v>0</v>
      </c>
      <c r="L13" s="899">
        <f t="shared" si="0"/>
        <v>0</v>
      </c>
      <c r="M13" s="899">
        <f t="shared" si="0"/>
        <v>0</v>
      </c>
      <c r="N13" s="899">
        <f t="shared" si="0"/>
        <v>114</v>
      </c>
      <c r="O13" s="900">
        <f t="shared" si="0"/>
        <v>0</v>
      </c>
      <c r="P13" s="900">
        <f t="shared" si="0"/>
        <v>0</v>
      </c>
      <c r="Q13" s="899">
        <f t="shared" si="0"/>
        <v>627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23</v>
      </c>
      <c r="AC13" s="899">
        <f t="shared" si="1"/>
        <v>769</v>
      </c>
      <c r="AD13" s="899">
        <f t="shared" si="1"/>
        <v>0</v>
      </c>
      <c r="AE13" s="899">
        <f t="shared" si="1"/>
        <v>0</v>
      </c>
      <c r="AF13" s="899">
        <f t="shared" si="1"/>
        <v>107</v>
      </c>
      <c r="AG13" s="899">
        <f t="shared" si="1"/>
        <v>0</v>
      </c>
      <c r="AH13" s="899">
        <f t="shared" si="1"/>
        <v>119</v>
      </c>
      <c r="AI13" s="899">
        <f t="shared" si="1"/>
        <v>0</v>
      </c>
      <c r="AJ13" s="899">
        <f t="shared" si="1"/>
        <v>0</v>
      </c>
      <c r="AK13" s="899">
        <f t="shared" si="1"/>
        <v>0</v>
      </c>
      <c r="AL13" s="899">
        <f t="shared" si="1"/>
        <v>0</v>
      </c>
      <c r="AM13" s="899">
        <f t="shared" si="1"/>
        <v>8341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547</v>
      </c>
      <c r="BD13" s="899">
        <f t="shared" si="1"/>
        <v>1014</v>
      </c>
      <c r="BE13" s="899">
        <f t="shared" si="1"/>
        <v>0</v>
      </c>
      <c r="BF13" s="899">
        <f t="shared" si="1"/>
        <v>0</v>
      </c>
      <c r="BG13" s="899">
        <f>IF(ISNUMBER(Datos!K13/Datos!J13),Datos!K13/Datos!J13," - ")</f>
        <v>1.492296918767507</v>
      </c>
      <c r="BH13" s="903">
        <f>IF(ISNUMBER(((Datos!L13/Datos!K13)*11)/factor_trimestre),((Datos!L13/Datos!K13)*11)/factor_trimestre," - ")</f>
        <v>10.086813702487095</v>
      </c>
      <c r="BI13" s="899">
        <f>IF(ISNUMBER('Resol  Asuntos'!D13/NºAsuntos!G13),'Resol  Asuntos'!D13/NºAsuntos!G13," - ")</f>
        <v>0.24695259593679458</v>
      </c>
      <c r="BJ13" s="899" t="str">
        <f>IF(ISNUMBER(Datos!CI13/Datos!CJ13),Datos!CI13/Datos!CJ13," - ")</f>
        <v xml:space="preserve"> - </v>
      </c>
      <c r="BK13" s="899">
        <f>SUBTOTAL(9,BK8:BK12)</f>
        <v>0</v>
      </c>
      <c r="BL13" s="899">
        <f>IF(ISNUMBER((I13-AB13+L13)/(F13)),(I13-AB13+L13)/(F13)," - ")</f>
        <v>-0.23</v>
      </c>
      <c r="BM13" s="904">
        <f>SUBTOTAL(9,BM9:BM12)</f>
        <v>-0.26131969442770348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5</v>
      </c>
      <c r="F16" s="595">
        <f>IF(ISNUMBER(AF16+AB16-Datos!J16-L16),AF16+AB16-Datos!J16-L16," - ")</f>
        <v>2922</v>
      </c>
      <c r="G16" s="598">
        <f>IF(ISNUMBER(IF(D_I="SI",Datos!I16,Datos!I16+Datos!AC16)),IF(D_I="SI",Datos!I16,Datos!I16+Datos!AC16)," - ")</f>
        <v>3055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1443</v>
      </c>
      <c r="AC16" s="226">
        <f>IF(ISNUMBER(Datos!Q16),Datos!Q16," - ")</f>
        <v>77</v>
      </c>
      <c r="AD16" s="334"/>
      <c r="AE16" s="484"/>
      <c r="AF16" s="596">
        <f>IF(ISNUMBER(IF(D_I="SI",Datos!L16,Datos!L16+Datos!AF16)),IF(D_I="SI",Datos!L16,Datos!L16+Datos!AF16)," - ")</f>
        <v>3053</v>
      </c>
      <c r="AG16" s="334"/>
      <c r="AH16" s="334"/>
      <c r="AI16" s="334"/>
      <c r="AJ16" s="334"/>
      <c r="AK16" s="334"/>
      <c r="AL16" s="479"/>
      <c r="AM16" s="335">
        <f>IF(ISNUMBER(Datos!R16),Datos!R16," - ")</f>
        <v>318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252</v>
      </c>
      <c r="BD16" s="229">
        <f>IF(ISNUMBER(Datos!N16),Datos!N16," - ")</f>
        <v>787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0.91677255400254132</v>
      </c>
      <c r="BH16" s="260">
        <f>IF(ISNUMBER(((IF(D_I="SI",Datos!L16/Datos!K16,(Datos!L16+Datos!AF16)/(Datos!K16+Datos!AE16)))*11)/factor_trimestre),((IF(D_I="SI",Datos!L16/Datos!K16,(Datos!L16+Datos!AF16)/(Datos!K16+Datos!AE16)))*11)/factor_trimestre," - ")</f>
        <v>6.3471933471933468</v>
      </c>
      <c r="BI16" s="243">
        <f>IF(ISNUMBER('Resol  Asuntos'!D16/NºAsuntos!G16),'Resol  Asuntos'!D16/NºAsuntos!G16," - ")</f>
        <v>0.17463617463617465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192</v>
      </c>
      <c r="AC17" s="226">
        <f>IF(ISNUMBER(Datos!Q17),Datos!Q17," - ")</f>
        <v>2</v>
      </c>
      <c r="AD17" s="334"/>
      <c r="AE17" s="484"/>
      <c r="AF17" s="332">
        <f>IF(ISNUMBER(Datos!L17),Datos!L17,"-")</f>
        <v>80</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27</v>
      </c>
      <c r="BD17" s="229">
        <f>IF(ISNUMBER(Datos!N17),Datos!N17," - ")</f>
        <v>133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1.136094674556213</v>
      </c>
      <c r="BH17" s="260">
        <f>IF(ISNUMBER(((IF(D_I="SI",Datos!L17/Datos!K17,(Datos!L17+Datos!AF17)/(Datos!K17+Datos!AE17)))*11)/factor_trimestre),((IF(D_I="SI",Datos!L17/Datos!K17,(Datos!L17+Datos!AF17)/(Datos!K17+Datos!AE17)))*11)/factor_trimestre," - ")</f>
        <v>1.2500000000000002</v>
      </c>
      <c r="BI17" s="243">
        <f>IF(ISNUMBER('Resol  Asuntos'!D17/NºAsuntos!G17),'Resol  Asuntos'!D17/NºAsuntos!G17," - ")</f>
        <v>0.140625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2922</v>
      </c>
      <c r="G18" s="898">
        <f>SUBTOTAL(9,G15:G17)</f>
        <v>3157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1635</v>
      </c>
      <c r="AC18" s="899">
        <f t="shared" si="4"/>
        <v>79</v>
      </c>
      <c r="AD18" s="899">
        <f t="shared" si="4"/>
        <v>0</v>
      </c>
      <c r="AE18" s="899">
        <f t="shared" si="4"/>
        <v>0</v>
      </c>
      <c r="AF18" s="899">
        <f t="shared" si="4"/>
        <v>3133</v>
      </c>
      <c r="AG18" s="899">
        <f t="shared" si="4"/>
        <v>0</v>
      </c>
      <c r="AH18" s="899">
        <f t="shared" si="4"/>
        <v>0</v>
      </c>
      <c r="AI18" s="899">
        <f t="shared" si="4"/>
        <v>0</v>
      </c>
      <c r="AJ18" s="899">
        <f t="shared" si="4"/>
        <v>0</v>
      </c>
      <c r="AK18" s="899">
        <f t="shared" si="4"/>
        <v>0</v>
      </c>
      <c r="AL18" s="899">
        <f t="shared" si="4"/>
        <v>0</v>
      </c>
      <c r="AM18" s="899">
        <f t="shared" si="4"/>
        <v>321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279</v>
      </c>
      <c r="BD18" s="899">
        <f t="shared" si="4"/>
        <v>920</v>
      </c>
      <c r="BE18" s="899">
        <f t="shared" si="4"/>
        <v>0</v>
      </c>
      <c r="BF18" s="899">
        <f t="shared" si="4"/>
        <v>0</v>
      </c>
      <c r="BG18" s="899">
        <f>IF(ISNUMBER(Datos!K18/Datos!J18),Datos!K18/Datos!J18," - ")</f>
        <v>0.93803786574870918</v>
      </c>
      <c r="BH18" s="903">
        <f>IF(ISNUMBER(((Datos!L18/Datos!K18)*11)/factor_trimestre),((Datos!L18/Datos!K18)*11)/factor_trimestre," - ")</f>
        <v>5.7486238532110097</v>
      </c>
      <c r="BI18" s="899">
        <f>SUBTOTAL(9,BI15:BI17)</f>
        <v>0.31526117463617465</v>
      </c>
      <c r="BJ18" s="899">
        <f>SUBTOTAL(9,BJ15:BJ17)</f>
        <v>0</v>
      </c>
      <c r="BK18" s="899">
        <f>SUBTOTAL(9,BK15:BK17)</f>
        <v>0</v>
      </c>
      <c r="BL18" s="899">
        <f>IF(ISNUMBER((I18-AB18+L18)/(F18)),(I18-AB18+L18)/(F18)," - ")</f>
        <v>-0.55954825462012325</v>
      </c>
      <c r="BM18" s="905">
        <f>IF(ISNUMBER((Datos!P18-Datos!Q18)/(Datos!R18-Datos!P18+Datos!Q18)),(Datos!P18-Datos!Q18)/(Datos!R18-Datos!P18+Datos!Q18)," - ")</f>
        <v>-3.313253012048193E-2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3022</v>
      </c>
      <c r="G19" s="820">
        <f t="shared" si="6"/>
        <v>3257</v>
      </c>
      <c r="H19" s="822">
        <f t="shared" si="6"/>
        <v>0</v>
      </c>
      <c r="I19" s="820">
        <f t="shared" si="6"/>
        <v>0</v>
      </c>
      <c r="J19" s="822">
        <f t="shared" si="6"/>
        <v>0</v>
      </c>
      <c r="K19" s="822">
        <f t="shared" si="6"/>
        <v>0</v>
      </c>
      <c r="L19" s="881">
        <f t="shared" si="6"/>
        <v>0</v>
      </c>
      <c r="M19" s="881">
        <f t="shared" si="6"/>
        <v>0</v>
      </c>
      <c r="N19" s="881">
        <f t="shared" si="6"/>
        <v>114</v>
      </c>
      <c r="O19" s="881">
        <f t="shared" si="6"/>
        <v>0</v>
      </c>
      <c r="P19" s="881">
        <f t="shared" si="6"/>
        <v>0</v>
      </c>
      <c r="Q19" s="822">
        <f t="shared" si="6"/>
        <v>695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1658</v>
      </c>
      <c r="AC19" s="821">
        <f t="shared" si="7"/>
        <v>848</v>
      </c>
      <c r="AD19" s="821">
        <f t="shared" si="7"/>
        <v>0</v>
      </c>
      <c r="AE19" s="821">
        <f t="shared" si="7"/>
        <v>0</v>
      </c>
      <c r="AF19" s="828">
        <f t="shared" si="7"/>
        <v>3240</v>
      </c>
      <c r="AG19" s="828">
        <f t="shared" si="7"/>
        <v>0</v>
      </c>
      <c r="AH19" s="828">
        <f t="shared" si="7"/>
        <v>119</v>
      </c>
      <c r="AI19" s="828">
        <f t="shared" si="7"/>
        <v>0</v>
      </c>
      <c r="AJ19" s="821">
        <f t="shared" si="7"/>
        <v>0</v>
      </c>
      <c r="AK19" s="828">
        <f t="shared" si="7"/>
        <v>0</v>
      </c>
      <c r="AL19" s="828">
        <f t="shared" si="7"/>
        <v>0</v>
      </c>
      <c r="AM19" s="828">
        <f t="shared" si="7"/>
        <v>8662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826</v>
      </c>
      <c r="BD19" s="820">
        <f t="shared" si="7"/>
        <v>1934</v>
      </c>
      <c r="BE19" s="820">
        <f t="shared" si="7"/>
        <v>0</v>
      </c>
      <c r="BF19" s="830">
        <f t="shared" si="7"/>
        <v>0</v>
      </c>
      <c r="BG19" s="915">
        <f>IF(ISNUMBER(Datos!K19/Datos!J19),Datos!K19/Datos!J19," - ")</f>
        <v>1.1876379690949228</v>
      </c>
      <c r="BH19" s="915">
        <f>IF(ISNUMBER(((Datos!L19/Datos!K19)*11)/factor_trimestre),((Datos!L19/Datos!K19)*11)/factor_trimestre," - ")</f>
        <v>8.2033988316516187</v>
      </c>
      <c r="BI19" s="813">
        <f>IF(ISNUMBER(Datos!J19/Datos!I19),Datos!J19/Datos!I19," - ")</f>
        <v>0.2874626053848246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-0.54864328259430839</v>
      </c>
      <c r="BM19" s="889">
        <f>IF(ISNUMBER((Datos!P19-Datos!Q19+R19)/(Datos!R19-Datos!P19+Datos!Q19-R19)),(Datos!P19-Datos!Q19+R19)/(Datos!R19-Datos!P19+Datos!Q19-R19)," - ")</f>
        <v>-1.735677821894498E-2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1302.8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1629.2824596531239</v>
      </c>
      <c r="G21" s="552">
        <f>IF(ISNUMBER(STDEV(G8:G18)),STDEV(G8:G18),"-")</f>
        <v>1646.484041829741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805.32987030160507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234.02962775398046</v>
      </c>
      <c r="BD21" s="551"/>
      <c r="BE21" s="551">
        <f>IF(ISNUMBER(STDEV(BE8:BE18)),STDEV(BE8:BE18),"-")</f>
        <v>0</v>
      </c>
      <c r="BF21" s="556">
        <f>IF(ISNUMBER(STDEV(BF8:BF18)),STDEV(BF8:BF18),"-")</f>
        <v>0</v>
      </c>
      <c r="BG21" s="775">
        <f>IF(ISNUMBER(STDEV(BG8:BG18)),STDEV(BG8:BG18),"-")</f>
        <v>0.29892347740352143</v>
      </c>
      <c r="BH21" s="776">
        <f>IF(ISNUMBER(STDEV(BH8:BH18)),STDEV(BH8:BH18),"-")</f>
        <v>4.3912634625647984</v>
      </c>
      <c r="BI21" s="249">
        <f>IF(ISNUMBER(STDEV(BI8:BI18)),STDEV(BI8:BI18),"-")</f>
        <v>7.7798472825652318E-2</v>
      </c>
      <c r="BJ21" s="230" t="str">
        <f>IF(ISNUMBER(BL21/BM21),BL21/BM21," - ")</f>
        <v xml:space="preserve"> - </v>
      </c>
      <c r="BK21" s="575"/>
      <c r="BL21" s="559">
        <f>IF(ISNUMBER(STDEV(BL8:BL18)),STDEV(BL8:BL18),"-")</f>
        <v>0.23302580557008021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v56xX6j67o1nAlHkqvq9wZ+1uQcS+SUH2cx9B9gIFQaNNXdURjmR4bpB4cpBhW3bjw7QCGN0EqhvaLNQvwqMjg==" saltValue="SqKFN+NDronon6q0ucLd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VIC</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100</v>
      </c>
      <c r="G10" s="225">
        <f>IF(ISNUMBER(Datos!I10),Datos!I10," - ")</f>
        <v>100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23</v>
      </c>
      <c r="Z10" s="619">
        <f>IF(ISNUMBER(Datos!Q10),Datos!Q10," - ")</f>
        <v>22</v>
      </c>
      <c r="AA10" s="332">
        <f>IF(ISNUMBER(Datos!L10),Datos!L10,"-")</f>
        <v>107</v>
      </c>
      <c r="AB10" s="334"/>
      <c r="AC10" s="334"/>
      <c r="AD10" s="484"/>
      <c r="AE10" s="484">
        <f>IF(ISNUMBER(Datos!R10),Datos!R10," - ")</f>
        <v>55</v>
      </c>
      <c r="AF10" s="229" t="str">
        <f>IF(ISNUMBER(Datos!BV10),Datos!BV10," - ")</f>
        <v xml:space="preserve"> - </v>
      </c>
      <c r="AG10" s="225" t="str">
        <f>IF(ISNUMBER(Datos!DV10),Datos!DV10," - ")</f>
        <v xml:space="preserve"> - </v>
      </c>
      <c r="AH10" s="298"/>
      <c r="AI10" s="227"/>
      <c r="AJ10" s="225">
        <f>IF(ISNUMBER(Datos!M10),Datos!M10," - ")</f>
        <v>11</v>
      </c>
      <c r="AK10" s="229">
        <f>IF(ISNUMBER(Datos!N10),Datos!N10," - ")</f>
        <v>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13.956521739130437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-0.24657534246575341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623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747</v>
      </c>
      <c r="AA12" s="332" t="str">
        <f>IF(ISNUMBER(IF(J_V="SI",Datos!L12,Datos!L12+Datos!AB12)-IF(Monitorios="SI",Datos!CD12,0)),
                          IF(J_V="SI",Datos!L12,Datos!L12+Datos!AB12)-IF(Monitorios="SI",Datos!CD12,0),
                          " - ")</f>
        <v xml:space="preserve"> - </v>
      </c>
      <c r="AB12" s="334"/>
      <c r="AC12" s="334"/>
      <c r="AD12" s="484"/>
      <c r="AE12" s="484">
        <f>IF(ISNUMBER(Datos!R12),Datos!R12," - ")</f>
        <v>8286</v>
      </c>
      <c r="AF12" s="229" t="str">
        <f>IF(ISNUMBER(Datos!BV12),Datos!BV12," - ")</f>
        <v xml:space="preserve"> - </v>
      </c>
      <c r="AG12" s="225" t="str">
        <f>IF(ISNUMBER(Datos!DV12),Datos!DV12," - ")</f>
        <v xml:space="preserve"> - </v>
      </c>
      <c r="AH12" s="298"/>
      <c r="AI12" s="227"/>
      <c r="AJ12" s="225">
        <f>IF(ISNUMBER(Datos!M12),Datos!M12," - ")</f>
        <v>536</v>
      </c>
      <c r="AK12" s="229">
        <f>IF(ISNUMBER(Datos!N12),Datos!N12," - ")</f>
        <v>1007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9.8225364963503647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-1.4744351961950059E-2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100</v>
      </c>
      <c r="G13" s="898">
        <f>SUBTOTAL(9,G8:G12)</f>
        <v>100</v>
      </c>
      <c r="H13" s="908"/>
      <c r="I13" s="898">
        <f t="shared" ref="I13:N13" si="0">SUBTOTAL(9,I8:I12)</f>
        <v>0</v>
      </c>
      <c r="J13" s="867">
        <f t="shared" si="0"/>
        <v>0</v>
      </c>
      <c r="K13" s="908">
        <f t="shared" si="0"/>
        <v>0</v>
      </c>
      <c r="L13" s="908">
        <f t="shared" si="0"/>
        <v>0</v>
      </c>
      <c r="M13" s="908">
        <f t="shared" si="0"/>
        <v>0</v>
      </c>
      <c r="N13" s="908">
        <f t="shared" si="0"/>
        <v>627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23</v>
      </c>
      <c r="Z13" s="907">
        <f t="shared" si="2"/>
        <v>769</v>
      </c>
      <c r="AA13" s="900">
        <f t="shared" si="2"/>
        <v>107</v>
      </c>
      <c r="AB13" s="900">
        <f t="shared" si="2"/>
        <v>0</v>
      </c>
      <c r="AC13" s="900">
        <f t="shared" si="2"/>
        <v>0</v>
      </c>
      <c r="AD13" s="900">
        <f t="shared" si="2"/>
        <v>0</v>
      </c>
      <c r="AE13" s="900">
        <f t="shared" si="2"/>
        <v>8341</v>
      </c>
      <c r="AF13" s="908">
        <f t="shared" si="2"/>
        <v>0</v>
      </c>
      <c r="AG13" s="908">
        <f t="shared" si="2"/>
        <v>0</v>
      </c>
      <c r="AH13" s="908">
        <f t="shared" si="2"/>
        <v>0</v>
      </c>
      <c r="AI13" s="908">
        <f t="shared" si="2"/>
        <v>0</v>
      </c>
      <c r="AJ13" s="908">
        <f t="shared" si="2"/>
        <v>547</v>
      </c>
      <c r="AK13" s="908">
        <f t="shared" si="2"/>
        <v>1014</v>
      </c>
      <c r="AL13" s="908">
        <f t="shared" si="2"/>
        <v>0</v>
      </c>
      <c r="AM13" s="908">
        <f t="shared" si="2"/>
        <v>0</v>
      </c>
      <c r="AN13" s="908">
        <f t="shared" si="2"/>
        <v>0</v>
      </c>
      <c r="AO13" s="904">
        <f>IF(ISNUMBER(((NºAsuntos!I13/NºAsuntos!G13)*11)/factor_trimestre),((NºAsuntos!I13/NºAsuntos!G13)*11)/factor_trimestre," - ")</f>
        <v>9.8654627539503377</v>
      </c>
      <c r="AP13" s="910" t="str">
        <f>IF(ISNUMBER(Datos!CI13/Datos!CJ13),Datos!CI13/Datos!CJ13," - ")</f>
        <v xml:space="preserve"> - </v>
      </c>
      <c r="AQ13" s="928">
        <f t="shared" ref="AQ13:AV13" si="3">SUBTOTAL(9,AQ9:AQ12)</f>
        <v>0</v>
      </c>
      <c r="AR13" s="928">
        <f t="shared" si="3"/>
        <v>-0.26131969442770348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5</v>
      </c>
      <c r="F16" s="333">
        <f>IF(ISNUMBER(AA16+Y16-Datos!J16-K15),AA16+Y16-Datos!J16-K15," - ")</f>
        <v>2922</v>
      </c>
      <c r="G16" s="225">
        <f>IF(ISNUMBER(IF(D_I="SI",Datos!I16,Datos!I16+Datos!AC16)),IF(D_I="SI",Datos!I16,Datos!I16+Datos!AC16)," - ")</f>
        <v>3055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1443</v>
      </c>
      <c r="Z16" s="619">
        <f>IF(ISNUMBER(Datos!Q16),Datos!Q16," - ")</f>
        <v>77</v>
      </c>
      <c r="AA16" s="332">
        <f>IF(ISNUMBER(IF(D_I="SI",Datos!L16,Datos!L16+Datos!AF16)),IF(D_I="SI",Datos!L16,Datos!L16+Datos!AF16)," - ")</f>
        <v>3053</v>
      </c>
      <c r="AB16" s="334"/>
      <c r="AC16" s="334"/>
      <c r="AD16" s="484"/>
      <c r="AE16" s="484">
        <f>IF(ISNUMBER(Datos!R16),Datos!R16," - ")</f>
        <v>318</v>
      </c>
      <c r="AF16" s="229" t="str">
        <f>IF(ISNUMBER(Datos!BV16),Datos!BV16," - ")</f>
        <v xml:space="preserve"> - </v>
      </c>
      <c r="AG16" s="225"/>
      <c r="AH16" s="298"/>
      <c r="AI16" s="227"/>
      <c r="AJ16" s="225">
        <f>IF(ISNUMBER(Datos!M16),Datos!M16," - ")</f>
        <v>252</v>
      </c>
      <c r="AK16" s="229">
        <f>IF(ISNUMBER(Datos!N16),Datos!N16," - ")</f>
        <v>787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6.3471933471933468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192</v>
      </c>
      <c r="Z17" s="619">
        <f>IF(ISNUMBER(Datos!Q17),Datos!Q17," - ")</f>
        <v>2</v>
      </c>
      <c r="AA17" s="332">
        <f>IF(ISNUMBER(Datos!L17),Datos!L17,"-")</f>
        <v>80</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27</v>
      </c>
      <c r="AK17" s="229">
        <f>IF(ISNUMBER(Datos!N17),Datos!N17," - ")</f>
        <v>133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1.2500000000000002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2922</v>
      </c>
      <c r="G18" s="898">
        <f>SUBTOTAL(9,G15:G17)</f>
        <v>3157</v>
      </c>
      <c r="H18" s="932">
        <f>SUBTOTAL(9,H15:H17)</f>
        <v>0</v>
      </c>
      <c r="I18" s="911">
        <f>SUBTOTAL(9,I15:I17)</f>
        <v>0</v>
      </c>
      <c r="J18" s="867">
        <f>SUBTOTAL(9,J14:J17)</f>
        <v>0</v>
      </c>
      <c r="K18" s="932">
        <f t="shared" ref="K18:S18" si="4">SUBTOTAL(9,K15:K17)</f>
        <v>0</v>
      </c>
      <c r="L18" s="932">
        <f t="shared" si="4"/>
        <v>0</v>
      </c>
      <c r="M18" s="932">
        <f t="shared" si="4"/>
        <v>0</v>
      </c>
      <c r="N18" s="932">
        <f t="shared" si="4"/>
        <v>68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1635</v>
      </c>
      <c r="Z18" s="932">
        <f t="shared" si="5"/>
        <v>79</v>
      </c>
      <c r="AA18" s="932">
        <f t="shared" si="5"/>
        <v>3133</v>
      </c>
      <c r="AB18" s="932">
        <f t="shared" si="5"/>
        <v>0</v>
      </c>
      <c r="AC18" s="932">
        <f t="shared" si="5"/>
        <v>0</v>
      </c>
      <c r="AD18" s="932">
        <f t="shared" si="5"/>
        <v>0</v>
      </c>
      <c r="AE18" s="932">
        <f t="shared" si="5"/>
        <v>321</v>
      </c>
      <c r="AF18" s="932">
        <f t="shared" si="5"/>
        <v>0</v>
      </c>
      <c r="AG18" s="932">
        <f t="shared" si="5"/>
        <v>0</v>
      </c>
      <c r="AH18" s="932">
        <f t="shared" si="5"/>
        <v>0</v>
      </c>
      <c r="AI18" s="932">
        <f t="shared" si="5"/>
        <v>0</v>
      </c>
      <c r="AJ18" s="932">
        <f t="shared" si="5"/>
        <v>279</v>
      </c>
      <c r="AK18" s="932">
        <f t="shared" si="5"/>
        <v>920</v>
      </c>
      <c r="AL18" s="932">
        <f t="shared" si="5"/>
        <v>0</v>
      </c>
      <c r="AM18" s="932">
        <f t="shared" si="5"/>
        <v>0</v>
      </c>
      <c r="AN18" s="932">
        <f t="shared" si="5"/>
        <v>0</v>
      </c>
      <c r="AO18" s="934">
        <f>IF(ISNUMBER(((NºAsuntos!I18/NºAsuntos!G18)*11)/factor_trimestre),((NºAsuntos!I18/NºAsuntos!G18)*11)/factor_trimestre," - ")</f>
        <v>5.7486238532110097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3022</v>
      </c>
      <c r="G19" s="820">
        <f t="shared" si="7"/>
        <v>3257</v>
      </c>
      <c r="H19" s="821">
        <f t="shared" si="7"/>
        <v>0</v>
      </c>
      <c r="I19" s="820">
        <f t="shared" si="7"/>
        <v>0</v>
      </c>
      <c r="J19" s="822">
        <f t="shared" si="7"/>
        <v>0</v>
      </c>
      <c r="K19" s="820">
        <f t="shared" si="7"/>
        <v>0</v>
      </c>
      <c r="L19" s="823">
        <f t="shared" si="7"/>
        <v>0</v>
      </c>
      <c r="M19" s="820">
        <f t="shared" si="7"/>
        <v>0</v>
      </c>
      <c r="N19" s="821">
        <f t="shared" si="7"/>
        <v>695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1658</v>
      </c>
      <c r="Z19" s="827">
        <f t="shared" si="8"/>
        <v>848</v>
      </c>
      <c r="AA19" s="828">
        <f t="shared" si="8"/>
        <v>3240</v>
      </c>
      <c r="AB19" s="828">
        <f t="shared" si="8"/>
        <v>0</v>
      </c>
      <c r="AC19" s="828">
        <f t="shared" si="8"/>
        <v>0</v>
      </c>
      <c r="AD19" s="829">
        <f t="shared" si="8"/>
        <v>0</v>
      </c>
      <c r="AE19" s="829">
        <f t="shared" si="8"/>
        <v>8662</v>
      </c>
      <c r="AF19" s="830">
        <f t="shared" si="8"/>
        <v>0</v>
      </c>
      <c r="AG19" s="831">
        <f t="shared" si="8"/>
        <v>0</v>
      </c>
      <c r="AH19" s="832">
        <f t="shared" si="8"/>
        <v>0</v>
      </c>
      <c r="AI19" s="830">
        <f t="shared" si="8"/>
        <v>0</v>
      </c>
      <c r="AJ19" s="820">
        <f t="shared" si="8"/>
        <v>826</v>
      </c>
      <c r="AK19" s="820">
        <f t="shared" si="8"/>
        <v>1934</v>
      </c>
      <c r="AL19" s="820">
        <f t="shared" si="8"/>
        <v>0</v>
      </c>
      <c r="AM19" s="833">
        <f t="shared" si="8"/>
        <v>0</v>
      </c>
      <c r="AN19" s="823">
        <f>IF(ISNUMBER(Datos!K19/Datos!J19),Datos!K19/Datos!J19," - ")</f>
        <v>1.1876379690949228</v>
      </c>
      <c r="AO19" s="823">
        <f>IF(ISNUMBER(FIND("06",Criterios!A8,1)),(IF(ISNUMBER(((Datos!R19/Datos!Q19)*11)/factor_trimestre),((Datos!R19/Datos!Q19)*11)/factor_trimestre," - ")),(IF(ISNUMBER(((Datos!L19/Datos!K19)*11)/factor_trimestre),((Datos!L19/Datos!K19)*11)/factor_trimestre," - ")))</f>
        <v>8.2033988316516187</v>
      </c>
      <c r="AP19" s="834" t="str">
        <f>IF(ISNUMBER(Datos!CI19/Datos!CJ19),Datos!CI19/Datos!CJ19," - ")</f>
        <v xml:space="preserve"> - </v>
      </c>
      <c r="AQ19" s="834">
        <f>IF(OR(ISNUMBER(FIND("01",Criterios!A8,1)),ISNUMBER(FIND("02",Criterios!A8,1)),ISNUMBER(FIND("03",Criterios!A8,1)),ISNUMBER(FIND("04",Criterios!A8,1))),(J19-Y19+K19)/(F19-K19),(I19-Y19+K19)/(F19-K19))</f>
        <v>-0.54864328259430839</v>
      </c>
      <c r="AR19" s="834">
        <f>IF(ISNUMBER((Datos!P19-Datos!Q19+O19)/(Datos!R19-Datos!P19+Datos!Q19-O19)),(Datos!P19-Datos!Q19+O19)/(Datos!R19-Datos!P19+Datos!Q19-O19)," - ")</f>
        <v>-1.735677821894498E-2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1302.8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1629.2824596531239</v>
      </c>
      <c r="G21" s="552">
        <f>IF(ISNUMBER(STDEV(G8:G18)),STDEV(G8:G18),"-")</f>
        <v>1646.484041829741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234.02962775398046</v>
      </c>
      <c r="AK21" s="252"/>
      <c r="AL21" s="252">
        <f>IF(ISNUMBER(STDEV(AL8:AL18)),STDEV(AL8:AL18),"-")</f>
        <v>0</v>
      </c>
      <c r="AM21" s="254">
        <f>IF(ISNUMBER(STDEV(AM8:AM18)),STDEV(AM8:AM18),"-")</f>
        <v>0</v>
      </c>
      <c r="AN21" s="539">
        <f>IF(ISNUMBER(STDEV(AN8:AN18)),STDEV(AN8:AN18),"-")</f>
        <v>0</v>
      </c>
      <c r="AO21" s="540">
        <f>IF(ISNUMBER(STDEV(AO8:AO18)),STDEV(AO8:AO18),"-")</f>
        <v>4.3697781031317078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8oSKKuNoq7oGGzfpqYlBsArxaVVxoA7UmKMFeNFCkplQGz7yk19FgfX5lR2jzmPkZHTaisk+7mLuetOA9PyH8w==" saltValue="Qv0UlioLLHDCVWmIzh0O0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eitBsR+zuJDT37C5Qobt34JNOhv1wwDusS0GL3q3RMjyw2ib62fizEZoRN5WhHJz4odRV4lnDTzOJqIJc9oKPQ==" saltValue="sedbx7EOoEMs4j+krxg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jN+roEGkh+Qwd2uZ3qaM2leM4YvehZjP80VUtD6hsenZd5b8xgrCiDXGdRvKYT09ltdYg70O8R5JlNARSQtiw==" saltValue="Xvu14gzMazELVlbMP5qa+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VIC</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0.24695259593679458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0.17462185521852888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t9pJJKikLDrWAdlMm0wGmYdbVn3BNkqlEIHEvuO0qDKjjp8a4P+102zKRy9OPr1EVTaKC+AIL0zEjQV6YmdJcg==" saltValue="pCzaMu94Bri866oys1qX7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6TbGxvBBqrTrmym//Pdf9Y9YT/hkbC9oBGqPLnWA/Dzj6vjszUGscFzGPETVqwxkB5qRnsi2zJls2+5xPsqfw==" saltValue="JIz8IAqVy7gC16263kKs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VIC</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100</v>
      </c>
      <c r="D10" s="404">
        <f>IF(ISNUMBER(C10/Datos!BH10),C10/Datos!BH10," - ")</f>
        <v>100</v>
      </c>
      <c r="E10" s="403">
        <f>IF(ISNUMBER(Datos!J10),Datos!J10," - ")</f>
        <v>30</v>
      </c>
      <c r="F10" s="404">
        <f>IF(ISNUMBER(E10/B10),E10/B10," - ")</f>
        <v>30</v>
      </c>
      <c r="G10" s="403">
        <f>IF(ISNUMBER(Datos!K10),Datos!K10," - ")</f>
        <v>23</v>
      </c>
      <c r="H10" s="404">
        <f>IF(ISNUMBER(G10/B10),G10/B10," - ")</f>
        <v>23</v>
      </c>
      <c r="I10" s="403">
        <f>IF(ISNUMBER(Datos!L10),Datos!L10," - ")</f>
        <v>107</v>
      </c>
      <c r="J10" s="404">
        <f>IF(ISNUMBER(I10/B10),I10/B10," - ")</f>
        <v>107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7863</v>
      </c>
      <c r="D12" s="404">
        <f>IF(ISNUMBER(C12/Datos!BH12),C12/Datos!BH12," - ")</f>
        <v>1310.5</v>
      </c>
      <c r="E12" s="403">
        <f>IF(ISNUMBER(IF(J_V="SI",Datos!J12,Datos!J12+Datos!Z12)),IF(J_V="SI",Datos!J12,Datos!J12+Datos!Z12)," - ")</f>
        <v>1512</v>
      </c>
      <c r="F12" s="404">
        <f>IF(ISNUMBER(E12/B12),E12/B12," - ")</f>
        <v>252</v>
      </c>
      <c r="G12" s="403">
        <f>IF(ISNUMBER(IF(J_V="SI",Datos!K12,Datos!K12+Datos!AA12)),IF(J_V="SI",Datos!K12,Datos!K12+Datos!AA12)," - ")</f>
        <v>2192</v>
      </c>
      <c r="H12" s="404">
        <f>IF(ISNUMBER(G12/B12),G12/B12," - ")</f>
        <v>365.33333333333331</v>
      </c>
      <c r="I12" s="403">
        <f>IF(ISNUMBER(IF(J_V="SI",Datos!L12,Datos!L12+Datos!AB12)),IF(J_V="SI",Datos!L12,Datos!L12+Datos!AB12)," - ")</f>
        <v>7177</v>
      </c>
      <c r="J12" s="404">
        <f>IF(ISNUMBER(I12/B12),I12/B12," - ")</f>
        <v>1196.1666666666667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7963</v>
      </c>
      <c r="D13" s="850" t="str">
        <f>IF(ISNUMBER(C13/Datos!BI13),C13/Datos!BI13," - ")</f>
        <v xml:space="preserve"> - </v>
      </c>
      <c r="E13" s="849">
        <f>SUBTOTAL(9,E8:E12)</f>
        <v>1542</v>
      </c>
      <c r="F13" s="850">
        <f>IF(ISNUMBER(E13/B13),E13/B13," - ")</f>
        <v>257</v>
      </c>
      <c r="G13" s="849">
        <f>SUBTOTAL(9,G8:G12)</f>
        <v>2215</v>
      </c>
      <c r="H13" s="850">
        <f>IF(ISNUMBER(G13/B13),G13/B13," - ")</f>
        <v>369.16666666666669</v>
      </c>
      <c r="I13" s="849">
        <f>SUBTOTAL(9,I8:I12)</f>
        <v>7284</v>
      </c>
      <c r="J13" s="850">
        <f>IF(ISNUMBER(I13/B13),I13/B13," - ")</f>
        <v>1214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3055</v>
      </c>
      <c r="D16" s="404">
        <f>IF(ISNUMBER(C16/Datos!BH16),C16/Datos!BH16," - ")</f>
        <v>509.16666666666669</v>
      </c>
      <c r="E16" s="403">
        <f>IF(ISNUMBER(IF(D_I="SI",Datos!J16,Datos!J16+Datos!AD16)),IF(D_I="SI",Datos!J16,Datos!J16+Datos!AD16)," - ")</f>
        <v>1574</v>
      </c>
      <c r="F16" s="404">
        <f>IF(ISNUMBER(E16/B16),E16/B16," - ")</f>
        <v>262.33333333333331</v>
      </c>
      <c r="G16" s="403">
        <f>IF(ISNUMBER(IF(D_I="SI",Datos!K16,Datos!K16+Datos!AE16)),IF(D_I="SI",Datos!K16,Datos!K16+Datos!AE16)," - ")</f>
        <v>1443</v>
      </c>
      <c r="H16" s="404">
        <f>IF(ISNUMBER(G16/B16),G16/B16," - ")</f>
        <v>240.5</v>
      </c>
      <c r="I16" s="403">
        <f>IF(ISNUMBER(IF(D_I="SI",Datos!L16,Datos!L16+Datos!AF16)),IF(D_I="SI",Datos!L16,Datos!L16+Datos!AF16)," - ")</f>
        <v>3053</v>
      </c>
      <c r="J16" s="404">
        <f>IF(ISNUMBER(I16/B16),I16/B16," - ")</f>
        <v>508.83333333333331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102</v>
      </c>
      <c r="D17" s="404">
        <f>IF(ISNUMBER(C17/Datos!BH17),C17/Datos!BH17," - ")</f>
        <v>102</v>
      </c>
      <c r="E17" s="403">
        <f>IF(ISNUMBER(IF(D_I="SI",Datos!J17,Datos!J17+Datos!AD17)),IF(D_I="SI",Datos!J17,Datos!J17+Datos!AD17)," - ")</f>
        <v>169</v>
      </c>
      <c r="F17" s="404">
        <f>IF(ISNUMBER(E17/B17),E17/B17," - ")</f>
        <v>169</v>
      </c>
      <c r="G17" s="403">
        <f>IF(ISNUMBER(IF(D_I="SI",Datos!K17,Datos!K17+Datos!AE17)),IF(D_I="SI",Datos!K17,Datos!K17+Datos!AE17)," - ")</f>
        <v>192</v>
      </c>
      <c r="H17" s="404">
        <f>IF(ISNUMBER(G17/B17),G17/B17," - ")</f>
        <v>192</v>
      </c>
      <c r="I17" s="403">
        <f>IF(ISNUMBER(IF(D_I="SI",Datos!L17,Datos!L17+Datos!AF17)),IF(D_I="SI",Datos!L17,Datos!L17+Datos!AF17)," - ")</f>
        <v>80</v>
      </c>
      <c r="J17" s="404">
        <f>IF(ISNUMBER(I17/B17),I17/B17," - ")</f>
        <v>80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3157</v>
      </c>
      <c r="D18" s="850" t="str">
        <f>IF(ISNUMBER(C18/Datos!BI18),C18/Datos!BI18," - ")</f>
        <v xml:space="preserve"> - </v>
      </c>
      <c r="E18" s="849">
        <f>SUBTOTAL(9,E14:E17)</f>
        <v>1743</v>
      </c>
      <c r="F18" s="850">
        <f>IF(ISNUMBER(E18/B18),E18/B18," - ")</f>
        <v>290.5</v>
      </c>
      <c r="G18" s="849">
        <f>SUBTOTAL(9,G14:G17)</f>
        <v>1635</v>
      </c>
      <c r="H18" s="850">
        <f>IF(ISNUMBER(G18/B18),G18/B18," - ")</f>
        <v>272.5</v>
      </c>
      <c r="I18" s="849">
        <f>SUBTOTAL(9,I14:I17)</f>
        <v>3133</v>
      </c>
      <c r="J18" s="850">
        <f>IF(ISNUMBER(I18/B18),I18/B18," - ")</f>
        <v>522.16666666666663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11120</v>
      </c>
      <c r="D19" s="795" t="str">
        <f>IF(ISNUMBER(C19/Datos!BI19),C19/Datos!BI19," - ")</f>
        <v xml:space="preserve"> - </v>
      </c>
      <c r="E19" s="794">
        <f>SUBTOTAL(9,E9:E18)</f>
        <v>3285</v>
      </c>
      <c r="F19" s="795">
        <f>IF(ISNUMBER(E19/B19),E19/B19," - ")</f>
        <v>547.5</v>
      </c>
      <c r="G19" s="794">
        <f>SUBTOTAL(9,G9:G18)</f>
        <v>3850</v>
      </c>
      <c r="H19" s="795">
        <f>IF(ISNUMBER(G19/B19),G19/B19," - ")</f>
        <v>641.66666666666663</v>
      </c>
      <c r="I19" s="794">
        <f>SUBTOTAL(9,I9:I18)</f>
        <v>10417</v>
      </c>
      <c r="J19" s="795">
        <f>IF(ISNUMBER(I19/B19),I19/B19," - ")</f>
        <v>1736.1666666666667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dDgPn5UP6vjGZ4LocWvRrLOxckSCLMU3jUeE7VTUkNfuLYxn1WWP8rfZRCd9J/BkyaSxEHNRp9ZIJLn3EGhzGg==" saltValue="0iokce3HN2HFx4sXuCyd6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VIC</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100</v>
      </c>
      <c r="G10" s="684">
        <f>IF(ISNUMBER(Datos!I10),Datos!I10," - ")</f>
        <v>100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23</v>
      </c>
      <c r="AC10" s="683" t="str">
        <f>IF(ISNUMBER(IF(D_I="SI",DatosP!K17,DatosP!K17+DatosP!AE17)),IF(D_I="SI",DatosP!K17,DatosP!K17+DatosP!AE17)," - ")</f>
        <v xml:space="preserve"> - </v>
      </c>
      <c r="AD10" s="685"/>
      <c r="AE10" s="685"/>
      <c r="AF10" s="688">
        <f>IF(ISNUMBER(Datos!L10),Datos!L10,"-")</f>
        <v>107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7</v>
      </c>
      <c r="AN10" s="690">
        <f>IF(ISNUMBER(Datos!BW10+DatosP!BW17),Datos!BW10+DatosP!BW17," - ")</f>
        <v>0</v>
      </c>
      <c r="AO10" s="691">
        <f>IF(ISNUMBER(Datos!BX10+DatosP!BX17),Datos!BX10+DatosP!BX17," - ")</f>
        <v>0</v>
      </c>
      <c r="AP10" s="693">
        <f>IF(ISNUMBER(((Datos!L10/Datos!K10)*11)/factor_trimestre),((Datos!L10/Datos!K10)*11)/factor_trimestre," - ")</f>
        <v>13.956521739130437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623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747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8286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536</v>
      </c>
      <c r="AM12" s="690">
        <f>IF(ISNUMBER(Datos!N12+DatosP!N16),Datos!N12+DatosP!N16," - ")</f>
        <v>1007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9.8225364963503647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-1.4744351961950059E-2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100</v>
      </c>
      <c r="G13" s="938">
        <f t="shared" si="0"/>
        <v>100</v>
      </c>
      <c r="H13" s="938">
        <f t="shared" si="0"/>
        <v>0</v>
      </c>
      <c r="I13" s="940">
        <f t="shared" si="0"/>
        <v>0</v>
      </c>
      <c r="J13" s="939">
        <f t="shared" si="0"/>
        <v>0</v>
      </c>
      <c r="K13" s="939">
        <f t="shared" si="0"/>
        <v>0</v>
      </c>
      <c r="L13" s="941">
        <f t="shared" si="0"/>
        <v>0</v>
      </c>
      <c r="M13" s="941">
        <f t="shared" si="0"/>
        <v>0</v>
      </c>
      <c r="N13" s="939">
        <f t="shared" si="0"/>
        <v>627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23</v>
      </c>
      <c r="AC13" s="939">
        <f t="shared" si="1"/>
        <v>0</v>
      </c>
      <c r="AD13" s="939">
        <f t="shared" si="1"/>
        <v>747</v>
      </c>
      <c r="AE13" s="939">
        <f t="shared" si="1"/>
        <v>0</v>
      </c>
      <c r="AF13" s="939">
        <f t="shared" si="1"/>
        <v>107</v>
      </c>
      <c r="AG13" s="939">
        <f t="shared" si="1"/>
        <v>0</v>
      </c>
      <c r="AH13" s="939">
        <f t="shared" si="1"/>
        <v>8286</v>
      </c>
      <c r="AI13" s="939">
        <f t="shared" si="1"/>
        <v>0</v>
      </c>
      <c r="AJ13" s="939">
        <f t="shared" si="1"/>
        <v>0</v>
      </c>
      <c r="AK13" s="939">
        <f t="shared" si="1"/>
        <v>0</v>
      </c>
      <c r="AL13" s="939">
        <f t="shared" si="1"/>
        <v>547</v>
      </c>
      <c r="AM13" s="939">
        <f t="shared" si="1"/>
        <v>1014</v>
      </c>
      <c r="AN13" s="939">
        <f t="shared" si="1"/>
        <v>0</v>
      </c>
      <c r="AO13" s="939">
        <f t="shared" si="1"/>
        <v>0</v>
      </c>
      <c r="AP13" s="944">
        <f>IF(ISNUMBER(((Datos!L13/Datos!K13)*11)/factor_trimestre),((Datos!L13/Datos!K13)*11)/factor_trimestre," - ")</f>
        <v>10.086813702487095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-0.23</v>
      </c>
      <c r="AU13" s="939" t="str">
        <f>IF(ISNUMBER((DatosP!#REF!-DatosP!#REF!+DatosP!#REF!)/(DatosP!#REF!+DatosP!#REF!-DatosP!#REF!-DatosP!#REF!)),(DatosP!#REF!-DatosP!#REF!+DatosP!#REF!)/(DatosP!#REF!+DatosP!#REF!-DatosP!#REF!-DatosP!#REF!)," - ")</f>
        <v xml:space="preserve"> - </v>
      </c>
      <c r="AV13" s="945">
        <f>SUBTOTAL(9,AV9:AV12)</f>
        <v>-1.4744351961950059E-2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5.7486238532110097</v>
      </c>
      <c r="AQ18" s="944">
        <f>IF(ISNUMBER(((Datos!M18/Datos!L18)*11)/factor_trimestre),((Datos!M18/Datos!L18)*11)/factor_trimestre," - ")</f>
        <v>0.26715608043408878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-3.313253012048193E-2</v>
      </c>
      <c r="AW18" s="946">
        <f>IF(ISNUMBER((Datos!Q18-Datos!R18)/(Datos!S18-Datos!Q18+Datos!R18)),(Datos!Q18-Datos!R18)/(Datos!S18-Datos!Q18+Datos!R18)," - ")</f>
        <v>-8.3218707015130677E-2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100</v>
      </c>
      <c r="G19" s="951">
        <f t="shared" si="4"/>
        <v>100</v>
      </c>
      <c r="H19" s="951">
        <f t="shared" si="4"/>
        <v>0</v>
      </c>
      <c r="I19" s="952">
        <f t="shared" si="4"/>
        <v>0</v>
      </c>
      <c r="J19" s="953">
        <f t="shared" si="4"/>
        <v>0</v>
      </c>
      <c r="K19" s="953">
        <f t="shared" si="4"/>
        <v>0</v>
      </c>
      <c r="L19" s="953">
        <f t="shared" si="4"/>
        <v>0</v>
      </c>
      <c r="M19" s="953">
        <f t="shared" si="4"/>
        <v>0</v>
      </c>
      <c r="N19" s="952">
        <f t="shared" si="4"/>
        <v>627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23</v>
      </c>
      <c r="AC19" s="957">
        <f t="shared" si="5"/>
        <v>0</v>
      </c>
      <c r="AD19" s="957">
        <f t="shared" si="5"/>
        <v>747</v>
      </c>
      <c r="AE19" s="957">
        <f t="shared" si="5"/>
        <v>0</v>
      </c>
      <c r="AF19" s="958">
        <f t="shared" si="5"/>
        <v>107</v>
      </c>
      <c r="AG19" s="958">
        <f t="shared" si="5"/>
        <v>0</v>
      </c>
      <c r="AH19" s="958">
        <f t="shared" si="5"/>
        <v>8286</v>
      </c>
      <c r="AI19" s="958">
        <f t="shared" si="5"/>
        <v>0</v>
      </c>
      <c r="AJ19" s="959">
        <f t="shared" si="5"/>
        <v>0</v>
      </c>
      <c r="AK19" s="959">
        <f t="shared" si="5"/>
        <v>0</v>
      </c>
      <c r="AL19" s="951">
        <f t="shared" si="5"/>
        <v>547</v>
      </c>
      <c r="AM19" s="951">
        <f t="shared" si="5"/>
        <v>1014</v>
      </c>
      <c r="AN19" s="951">
        <f t="shared" si="5"/>
        <v>0</v>
      </c>
      <c r="AO19" s="951">
        <f t="shared" si="5"/>
        <v>0</v>
      </c>
      <c r="AP19" s="951">
        <f>IF(ISNUMBER(((Datos!L19/Datos!K19)*11)/factor_trimestre),((Datos!L19/Datos!K19)*11)/factor_trimestre," - ")</f>
        <v>8.2033988316516187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-1.735677821894498E-2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57.735026918962575</v>
      </c>
      <c r="G21" s="737">
        <f>IF(ISNUMBER(STDEV(G8:G18)),STDEV(G8:G18),"-")</f>
        <v>57.735026918962575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13.279056191361391</v>
      </c>
      <c r="AC21" s="738">
        <f>IF(ISNUMBER(STDEV(AC8:AC18)),STDEV(AC8:AC18),"-")</f>
        <v>0</v>
      </c>
      <c r="AD21" s="741"/>
      <c r="AE21" s="741"/>
      <c r="AF21" s="741"/>
      <c r="AG21" s="741"/>
      <c r="AH21" s="741"/>
      <c r="AI21" s="741"/>
      <c r="AJ21" s="742">
        <f>IF(ISNUMBER(STDEV(AJ8:AJ18)),STDEV(AJ8:AJ18),"-")</f>
        <v>0</v>
      </c>
      <c r="AK21" s="744"/>
      <c r="AL21" s="736">
        <f>IF(ISNUMBER(STDEV(AL8:AL18)),STDEV(AL8:AL18),"-")</f>
        <v>309.52490475996706</v>
      </c>
      <c r="AM21" s="736"/>
      <c r="AN21" s="736">
        <f>IF(ISNUMBER(STDEV(AN8:AN18)),STDEV(AN8:AN18),"-")</f>
        <v>0</v>
      </c>
      <c r="AO21" s="742">
        <f>IF(ISNUMBER(STDEV(AO8:AO18)),STDEV(AO8:AO18),"-")</f>
        <v>0</v>
      </c>
      <c r="AP21" s="779">
        <f>IF(ISNUMBER(STDEV(AP8:AP18)),STDEV(AP8:AP18),"-")</f>
        <v>3.3531149674101872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GL/XcfjBoRyjD+vZM2Fq7YzgSRB2vOUxheWPGbgHSDs/mfNDwHNIvrGIfYfWN4Yw4vp2WotzWCeKcvL5JUmaGQ==" saltValue="arpgi1otOM+Bh9Z4ptAQ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VIC</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0.83333333333333337</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0.83333333333333337</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DFkcHj1XywKlY2dGMTJqC5RQh6UlVBuiTgKhj1InpWW6ZViFA2orqzFnDEmyCKc3QAyKLBeasUIF+kqSO8DOcg==" saltValue="wvy3Mx6u4mwSM6trXmjm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VIC</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11</v>
      </c>
      <c r="E10" s="404">
        <f>IF(ISNUMBER(D10/B10),D10/B10," - ")</f>
        <v>11</v>
      </c>
      <c r="F10" s="403">
        <f>IF(ISNUMBER(Datos!N10),Datos!N10," - ")</f>
        <v>7</v>
      </c>
      <c r="G10" s="404">
        <f>IF(ISNUMBER(F10/B10),F10/B10," - ")</f>
        <v>7</v>
      </c>
      <c r="H10" s="403">
        <f>IF(ISNUMBER(Datos!O10),Datos!O10," - ")</f>
        <v>7</v>
      </c>
      <c r="I10" s="404">
        <f t="shared" ref="I10:I12" si="2">IF(ISNUMBER(H10/B10),H10/B10," - ")</f>
        <v>7</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5</v>
      </c>
      <c r="D12" s="403">
        <f>IF(ISNUMBER(Datos!M12),Datos!M12," - ")</f>
        <v>536</v>
      </c>
      <c r="E12" s="404">
        <f t="shared" si="0"/>
        <v>89.333333333333329</v>
      </c>
      <c r="F12" s="403">
        <f>IF(ISNUMBER(Datos!N12),Datos!N12," - ")</f>
        <v>1007</v>
      </c>
      <c r="G12" s="404">
        <f t="shared" si="1"/>
        <v>167.83333333333334</v>
      </c>
      <c r="H12" s="403">
        <f>IF(ISNUMBER(Datos!O12),Datos!O12," - ")</f>
        <v>831</v>
      </c>
      <c r="I12" s="404">
        <f t="shared" si="2"/>
        <v>138.5</v>
      </c>
      <c r="BZ12" s="1186">
        <f>Datos!EZ12</f>
        <v>0</v>
      </c>
    </row>
    <row r="13" spans="1:78" ht="14.25" thickTop="1" thickBot="1">
      <c r="A13" s="848" t="str">
        <f>Datos!A13</f>
        <v>TOTAL</v>
      </c>
      <c r="B13" s="849">
        <f>Datos!AP13</f>
        <v>6</v>
      </c>
      <c r="C13" s="851">
        <f>Datos!AR13</f>
        <v>5</v>
      </c>
      <c r="D13" s="849">
        <f>SUBTOTAL(9,D9:D12)</f>
        <v>547</v>
      </c>
      <c r="E13" s="850">
        <f t="shared" si="0"/>
        <v>91.166666666666671</v>
      </c>
      <c r="F13" s="849">
        <f>SUBTOTAL(9,F9:F12)</f>
        <v>1014</v>
      </c>
      <c r="G13" s="850">
        <f t="shared" si="1"/>
        <v>169</v>
      </c>
      <c r="H13" s="849">
        <f>SUBTOTAL(9,H9:H12)</f>
        <v>838</v>
      </c>
      <c r="I13" s="850">
        <f>IF(ISNUMBER(H13/B13),H13/B13," - ")</f>
        <v>139.66666666666666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5</v>
      </c>
      <c r="D16" s="403">
        <f>IF(ISNUMBER(Datos!M16),Datos!M16," - ")</f>
        <v>252</v>
      </c>
      <c r="E16" s="404">
        <f t="shared" si="3"/>
        <v>42</v>
      </c>
      <c r="F16" s="403">
        <f>IF(ISNUMBER(Datos!N16),Datos!N16," - ")</f>
        <v>787</v>
      </c>
      <c r="G16" s="404">
        <f t="shared" si="4"/>
        <v>131.16666666666666</v>
      </c>
      <c r="H16" s="403">
        <f>IF(ISNUMBER(Datos!O16),Datos!O16," - ")</f>
        <v>18</v>
      </c>
      <c r="I16" s="404">
        <f t="shared" si="5"/>
        <v>3</v>
      </c>
      <c r="BZ16" s="1186">
        <f>Datos!EZ16</f>
        <v>0</v>
      </c>
    </row>
    <row r="17" spans="1:78" ht="13.5" thickBot="1">
      <c r="A17" s="402" t="str">
        <f>Datos!A17</f>
        <v>Jdos. Violencia contra la mujer</v>
      </c>
      <c r="B17" s="427">
        <f>Datos!AO17</f>
        <v>1</v>
      </c>
      <c r="C17" s="428">
        <f>Datos!AQ17</f>
        <v>0</v>
      </c>
      <c r="D17" s="403">
        <f>IF(ISNUMBER(Datos!M17),Datos!M17," - ")</f>
        <v>27</v>
      </c>
      <c r="E17" s="404">
        <f>IF(ISNUMBER(D17/B17),D17/B17," - ")</f>
        <v>27</v>
      </c>
      <c r="F17" s="403">
        <f>IF(ISNUMBER(Datos!N17),Datos!N17," - ")</f>
        <v>133</v>
      </c>
      <c r="G17" s="404">
        <f>IF(ISNUMBER(F17/B17),F17/B17," - ")</f>
        <v>133</v>
      </c>
      <c r="H17" s="403">
        <f>IF(ISNUMBER(Datos!O17),Datos!O17," - ")</f>
        <v>0</v>
      </c>
      <c r="I17" s="404">
        <f t="shared" si="5"/>
        <v>0</v>
      </c>
      <c r="BZ17" s="1186">
        <f>Datos!EZ17</f>
        <v>0</v>
      </c>
    </row>
    <row r="18" spans="1:78" ht="14.25" thickTop="1" thickBot="1">
      <c r="A18" s="848" t="str">
        <f>Datos!A18</f>
        <v>TOTAL</v>
      </c>
      <c r="B18" s="849">
        <f>Datos!AP18</f>
        <v>6</v>
      </c>
      <c r="C18" s="851">
        <f>Datos!AR18</f>
        <v>5</v>
      </c>
      <c r="D18" s="849">
        <f>SUBTOTAL(9,D15:D17)</f>
        <v>279</v>
      </c>
      <c r="E18" s="850">
        <f t="shared" si="3"/>
        <v>46.5</v>
      </c>
      <c r="F18" s="849">
        <f>SUBTOTAL(9,F15:F17)</f>
        <v>920</v>
      </c>
      <c r="G18" s="850">
        <f t="shared" si="4"/>
        <v>153.33333333333334</v>
      </c>
      <c r="H18" s="849">
        <f>SUBTOTAL(9,H15:H17)</f>
        <v>18</v>
      </c>
      <c r="I18" s="850">
        <f>IF(ISNUMBER(H18/B18),H18/B18," - ")</f>
        <v>3</v>
      </c>
      <c r="BZ18" s="1186"/>
    </row>
    <row r="19" spans="1:78" ht="14.25" thickTop="1" thickBot="1">
      <c r="A19" s="793" t="str">
        <f>Datos!A19</f>
        <v>TOTAL JURISDICCIONES</v>
      </c>
      <c r="B19" s="794">
        <f>Datos!AP19</f>
        <v>6</v>
      </c>
      <c r="C19" s="794">
        <f>Datos!AR19</f>
        <v>5</v>
      </c>
      <c r="D19" s="794">
        <f>SUBTOTAL(9,D8:D18)</f>
        <v>826</v>
      </c>
      <c r="E19" s="795">
        <f>IF(ISNUMBER(D19/B19),D19/B19," - ")</f>
        <v>137.66666666666666</v>
      </c>
      <c r="F19" s="794">
        <f>SUBTOTAL(9,F8:F18)</f>
        <v>1934</v>
      </c>
      <c r="G19" s="795">
        <f>IF(ISNUMBER(F19/B19),F19/B19," - ")</f>
        <v>322.33333333333331</v>
      </c>
      <c r="H19" s="794">
        <f>SUBTOTAL(9,H8:H18)</f>
        <v>856</v>
      </c>
      <c r="I19" s="795">
        <f>IF(ISNUMBER(H19/B19),H19/B19," - ")</f>
        <v>142.66666666666666</v>
      </c>
    </row>
    <row r="22" spans="1:78">
      <c r="A22" s="391" t="str">
        <f>Criterios!A4</f>
        <v>Fecha Informe: 24 sep. 2025</v>
      </c>
    </row>
    <row r="27" spans="1:78">
      <c r="A27" s="414"/>
    </row>
  </sheetData>
  <sheetProtection algorithmName="SHA-512" hashValue="CfjI9XBKmF2edVTryVkSOSz9Pw9uNhBFyzhcKse1m3ySic08q1+26qPZT/SDrD8FHVgswOWBgNv9JO33ZIf+Ww==" saltValue="T6labPArSV4KnUZWudF6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VIC</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22</v>
      </c>
      <c r="D10" s="408">
        <f>IF(ISNUMBER(Datos!R10),Datos!R10," - ")</f>
        <v>55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623</v>
      </c>
      <c r="C12" s="434">
        <f>IF(ISNUMBER(Datos!Q12),Datos!Q12," - ")</f>
        <v>747</v>
      </c>
      <c r="D12" s="408">
        <f>IF(ISNUMBER(Datos!R12),Datos!R12," - ")</f>
        <v>8286</v>
      </c>
    </row>
    <row r="13" spans="1:4" ht="14.25" thickTop="1" thickBot="1">
      <c r="A13" s="848" t="str">
        <f>Datos!A13</f>
        <v>TOTAL</v>
      </c>
      <c r="B13" s="849">
        <f>SUBTOTAL(9,B9:B12)</f>
        <v>627</v>
      </c>
      <c r="C13" s="853">
        <f>SUBTOTAL(9,C9:C12)</f>
        <v>769</v>
      </c>
      <c r="D13" s="851">
        <f>SUBTOTAL(9,D9:D12)</f>
        <v>8341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66</v>
      </c>
      <c r="C16" s="434">
        <f>IF(ISNUMBER(Datos!Q16),Datos!Q16," - ")</f>
        <v>77</v>
      </c>
      <c r="D16" s="408">
        <f>IF(ISNUMBER(Datos!R16),Datos!R16," - ")</f>
        <v>318</v>
      </c>
    </row>
    <row r="17" spans="1:4" ht="13.5" thickBot="1">
      <c r="A17" s="402" t="str">
        <f>Datos!A17</f>
        <v>Jdos. Violencia contra la mujer</v>
      </c>
      <c r="B17" s="433">
        <f>IF(ISNUMBER(Datos!P17),Datos!P17," - ")</f>
        <v>2</v>
      </c>
      <c r="C17" s="434">
        <f>IF(ISNUMBER(Datos!Q17),Datos!Q17," - ")</f>
        <v>2</v>
      </c>
      <c r="D17" s="408">
        <f>IF(ISNUMBER(Datos!R17),Datos!R17," - ")</f>
        <v>3</v>
      </c>
    </row>
    <row r="18" spans="1:4" ht="14.25" thickTop="1" thickBot="1">
      <c r="A18" s="848" t="str">
        <f>Datos!A18</f>
        <v>TOTAL</v>
      </c>
      <c r="B18" s="849">
        <f>SUBTOTAL(9,B15:B17)</f>
        <v>68</v>
      </c>
      <c r="C18" s="853">
        <f>SUBTOTAL(9,C15:C17)</f>
        <v>79</v>
      </c>
      <c r="D18" s="851">
        <f>SUBTOTAL(9,D15:D17)</f>
        <v>321</v>
      </c>
    </row>
    <row r="19" spans="1:4" ht="16.5" customHeight="1" thickTop="1" thickBot="1">
      <c r="A19" s="793" t="str">
        <f>Datos!A19</f>
        <v>TOTAL JURISDICCIONES</v>
      </c>
      <c r="B19" s="798">
        <f>SUBTOTAL(9,B8:B18)</f>
        <v>695</v>
      </c>
      <c r="C19" s="799">
        <f>SUBTOTAL(9,C8:C18)</f>
        <v>848</v>
      </c>
      <c r="D19" s="800">
        <f>SUBTOTAL(9,D8:D18)</f>
        <v>8662</v>
      </c>
    </row>
    <row r="20" spans="1:4" ht="7.5" customHeight="1"/>
    <row r="21" spans="1:4" ht="6" customHeight="1"/>
    <row r="22" spans="1:4">
      <c r="A22" s="391" t="str">
        <f>Criterios!A4</f>
        <v>Fecha Informe: 24 sep. 2025</v>
      </c>
    </row>
    <row r="27" spans="1:4">
      <c r="A27" s="414"/>
    </row>
  </sheetData>
  <sheetProtection algorithmName="SHA-512" hashValue="z9Rg5+kvVq5n4+Hhjv+PKxelDpf/y64nqHewvfK85P+V5AUH8j6YTdA3kdwykv8T9a7B99pvOR/F8GnuNM36cQ==" saltValue="JJ+kgjq9kNnbZtllXCH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VIC</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5.2631578947368418E-2</v>
      </c>
      <c r="C10" s="456">
        <f>IF(ISNUMBER((Datos!J10-Datos!T10)/Datos!T10),(Datos!J10-Datos!T10)/Datos!T10," - ")</f>
        <v>0.30434782608695654</v>
      </c>
      <c r="D10" s="456">
        <f>IF(ISNUMBER((Datos!K10-Datos!U10)/Datos!U10),(Datos!K10-Datos!U10)/Datos!U10," - ")</f>
        <v>-0.14814814814814814</v>
      </c>
      <c r="E10" s="456">
        <f>IF(ISNUMBER((Datos!L10-Datos!V10)/Datos!V10),(Datos!L10-Datos!V10)/Datos!V10," - ")</f>
        <v>0.17582417582417584</v>
      </c>
      <c r="F10" s="456">
        <f>IF(ISNUMBER((Datos!M10-Datos!W10)/Datos!W10),(Datos!M10-Datos!W10)/Datos!W10," - ")</f>
        <v>0</v>
      </c>
      <c r="G10" s="457">
        <f>IF(ISNUMBER((Datos!N10-Datos!X10)/Datos!X10),(Datos!N10-Datos!X10)/Datos!X10," - ")</f>
        <v>-0.3</v>
      </c>
      <c r="H10" s="455">
        <f>IF(ISNUMBER(((NºAsuntos!G10/NºAsuntos!E10)-Datos!BD10)/Datos!BD10),((NºAsuntos!G10/NºAsuntos!E10)-Datos!BD10)/Datos!BD10," - ")</f>
        <v>-0.3469135802469136</v>
      </c>
      <c r="I10" s="456">
        <f>IF(ISNUMBER(((NºAsuntos!I10/NºAsuntos!G10)-Datos!BE10)/Datos!BE10),((NºAsuntos!I10/NºAsuntos!G10)-Datos!BE10)/Datos!BE10," - ")</f>
        <v>0.38031533683707608</v>
      </c>
      <c r="J10" s="461">
        <f>IF(ISNUMBER((('Resol  Asuntos'!D10/NºAsuntos!G10)-Datos!BF10)/Datos!BF10),(('Resol  Asuntos'!D10/NºAsuntos!G10)-Datos!BF10)/Datos!BF10," - ")</f>
        <v>0.17391304347826098</v>
      </c>
      <c r="K10" s="462">
        <f>IF(ISNUMBER((((NºAsuntos!C10+NºAsuntos!E10)/NºAsuntos!G10)-Datos!BG10)/Datos!BG10),(((NºAsuntos!C10+NºAsuntos!E10)/NºAsuntos!G10)-Datos!BG10)/Datos!BG10," - ")</f>
        <v>0.29329403095062645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0.26110665597433841</v>
      </c>
      <c r="C12" s="456">
        <f>IF(ISNUMBER(
   IF(J_V="SI",(Datos!J12-Datos!T12)/Datos!T12,(Datos!J12+Datos!Z12-(Datos!T12+Datos!AH12))/(Datos!T12+Datos!AH12))
     ),IF(J_V="SI",(Datos!J12-Datos!T12)/Datos!T12,(Datos!J12+Datos!Z12-(Datos!T12+Datos!AH12))/(Datos!T12+Datos!AH12))," - ")</f>
        <v>-0.12449334105385061</v>
      </c>
      <c r="D12" s="456">
        <f>IF(ISNUMBER(
   IF(J_V="SI",(Datos!K12-Datos!U12)/Datos!U12,(Datos!K12+Datos!AA12-(Datos!U12+Datos!AI12))/(Datos!U12+Datos!AI12))
     ),IF(J_V="SI",(Datos!K12-Datos!U12)/Datos!U12,(Datos!K12+Datos!AA12-(Datos!U12+Datos!AI12))/(Datos!U12+Datos!AI12))," - ")</f>
        <v>0.32127787823990356</v>
      </c>
      <c r="E12" s="456">
        <f>IF(ISNUMBER(
   IF(J_V="SI",(Datos!L12-Datos!V12)/Datos!V12,(Datos!L12+Datos!AB12-(Datos!V12+Datos!AJ12))/(Datos!V12+Datos!AJ12))
     ),IF(J_V="SI",(Datos!L12-Datos!V12)/Datos!V12,(Datos!L12+Datos!AB12-(Datos!V12+Datos!AJ12))/(Datos!V12+Datos!AJ12))," - ")</f>
        <v>0.14630250758664751</v>
      </c>
      <c r="F12" s="456">
        <f>IF(ISNUMBER((Datos!M12-Datos!W12)/Datos!W12),(Datos!M12-Datos!W12)/Datos!W12," - ")</f>
        <v>0.46849315068493153</v>
      </c>
      <c r="G12" s="457">
        <f>IF(ISNUMBER((Datos!N12-Datos!X12)/Datos!X12),(Datos!N12-Datos!X12)/Datos!X12," - ")</f>
        <v>0.54447852760736193</v>
      </c>
      <c r="H12" s="455">
        <f>IF(ISNUMBER(((NºAsuntos!G12/NºAsuntos!E12)-Datos!BD12)/Datos!BD12),((NºAsuntos!G12/NºAsuntos!E12)-Datos!BD12)/Datos!BD12," - ")</f>
        <v>0.50915799981502208</v>
      </c>
      <c r="I12" s="456">
        <f>IF(ISNUMBER(((NºAsuntos!I12/NºAsuntos!G12)-Datos!BE12)/Datos!BE12),((NºAsuntos!I12/NºAsuntos!G12)-Datos!BE12)/Datos!BE12," - ")</f>
        <v>-0.13242889594605461</v>
      </c>
      <c r="J12" s="461">
        <f>IF(ISNUMBER((('Resol  Asuntos'!D12/NºAsuntos!G12)-Datos!BF12)/Datos!BF12),(('Resol  Asuntos'!D12/NºAsuntos!G12)-Datos!BF12)/Datos!BF12," - ")</f>
        <v>-0.37780999507411223</v>
      </c>
      <c r="K12" s="462">
        <f>IF(ISNUMBER((((NºAsuntos!C12+NºAsuntos!E12)/NºAsuntos!G12)-Datos!BG12)/Datos!BG12),(((NºAsuntos!C12+NºAsuntos!E12)/NºAsuntos!G12)-Datos!BG12)/Datos!BG12," - ")</f>
        <v>-0.10884152965637876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0.25797788309636649</v>
      </c>
      <c r="C13" s="855">
        <f>IF(ISNUMBER(
   IF(J_V="SI",(Datos!J13-Datos!T13)/Datos!T13,(Datos!J13+Datos!Z13-(Datos!T13+Datos!AH13))/(Datos!T13+Datos!AH13))
     ),IF(J_V="SI",(Datos!J13-Datos!T13)/Datos!T13,(Datos!J13+Datos!Z13-(Datos!T13+Datos!AH13))/(Datos!T13+Datos!AH13))," - ")</f>
        <v>-0.11885714285714286</v>
      </c>
      <c r="D13" s="855">
        <f>IF(ISNUMBER(
   IF(J_V="SI",(Datos!K13-Datos!U13)/Datos!U13,(Datos!K13+Datos!AA13-(Datos!U13+Datos!AI13))/(Datos!U13+Datos!AI13))
     ),IF(J_V="SI",(Datos!K13-Datos!U13)/Datos!U13,(Datos!K13+Datos!AA13-(Datos!U13+Datos!AI13))/(Datos!U13+Datos!AI13))," - ")</f>
        <v>0.31376037959667852</v>
      </c>
      <c r="E13" s="855">
        <f>IF(ISNUMBER(
   IF(J_V="SI",(Datos!L13-Datos!V13)/Datos!V13,(Datos!L13+Datos!AB13-(Datos!V13+Datos!AJ13))/(Datos!V13+Datos!AJ13))
     ),IF(J_V="SI",(Datos!L13-Datos!V13)/Datos!V13,(Datos!L13+Datos!AB13-(Datos!V13+Datos!AJ13))/(Datos!V13+Datos!AJ13))," - ")</f>
        <v>0.14672544080604533</v>
      </c>
      <c r="F13" s="856">
        <f>IF(ISNUMBER((Datos!M13-Datos!W13)/Datos!W13),(Datos!M13-Datos!W13)/Datos!W13," - ")</f>
        <v>0.45478723404255317</v>
      </c>
      <c r="G13" s="857">
        <f>IF(ISNUMBER((Datos!N13-Datos!X13)/Datos!X13),(Datos!N13-Datos!X13)/Datos!X13," - ")</f>
        <v>0.53172205438066467</v>
      </c>
      <c r="H13" s="857">
        <f>IF(ISNUMBER(((NºAsuntos!G13/NºAsuntos!E13)-Datos!BD13)/Datos!BD13),((NºAsuntos!G13/NºAsuntos!E13)-Datos!BD13)/Datos!BD13," - ")</f>
        <v>0.49097319344629536</v>
      </c>
      <c r="I13" s="857">
        <f>IF(ISNUMBER(((NºAsuntos!I13/NºAsuntos!G13)-Datos!BE13)/Datos!BE13),((NºAsuntos!I13/NºAsuntos!G13)-Datos!BE13)/Datos!BE13," - ")</f>
        <v>-0.12714262158059034</v>
      </c>
      <c r="J13" s="857">
        <f>IF(ISNUMBER((('Resol  Asuntos'!D13/NºAsuntos!G13)-Datos!BF13)/Datos!BF13),(('Resol  Asuntos'!D13/NºAsuntos!G13)-Datos!BF13)/Datos!BF13," - ")</f>
        <v>-0.37200290083041382</v>
      </c>
      <c r="K13" s="857">
        <f>IF(ISNUMBER((((NºAsuntos!C13+NºAsuntos!E13)/NºAsuntos!G13)-Datos!BG13)/Datos!BG13),(((NºAsuntos!C13+NºAsuntos!E13)/NºAsuntos!G13)-Datos!BG13)/Datos!BG13," - ")</f>
        <v>-0.10458451601367799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0.21422893481717012</v>
      </c>
      <c r="C16" s="456">
        <f>IF(ISNUMBER(
   IF(D_I="SI",(Datos!J16-Datos!T16)/Datos!T16,(Datos!J16+Datos!AD16-(Datos!T16+Datos!AL16))/(Datos!T16+Datos!AL16))
     ),IF(D_I="SI",(Datos!J16-Datos!T16)/Datos!T16,(Datos!J16+Datos!AD16-(Datos!T16+Datos!AL16))/(Datos!T16+Datos!AL16))," - ")</f>
        <v>-0.11373873873873874</v>
      </c>
      <c r="D16" s="456">
        <f>IF(ISNUMBER(
   IF(D_I="SI",(Datos!K16-Datos!U16)/Datos!U16,(Datos!K16+Datos!AE16-(Datos!U16+Datos!AM16))/(Datos!U16+Datos!AM16))
     ),IF(D_I="SI",(Datos!K16-Datos!U16)/Datos!U16,(Datos!K16+Datos!AE16-(Datos!U16+Datos!AM16))/(Datos!U16+Datos!AM16))," - ")</f>
        <v>-7.9719387755102039E-2</v>
      </c>
      <c r="E16" s="456">
        <f>IF(ISNUMBER(
   IF(D_I="SI",(Datos!L16-Datos!V16)/Datos!V16,(Datos!L16+Datos!AF16-(Datos!V16+Datos!AN16))/(Datos!V16+Datos!AN16))
     ),IF(D_I="SI",(Datos!L16-Datos!V16)/Datos!V16,(Datos!L16+Datos!AF16-(Datos!V16+Datos!AN16))/(Datos!V16+Datos!AN16))," - ")</f>
        <v>9.2698639942734432E-2</v>
      </c>
      <c r="F16" s="456">
        <f>IF(ISNUMBER((Datos!M16-Datos!W16)/Datos!W16),(Datos!M16-Datos!W16)/Datos!W16," - ")</f>
        <v>-2.7027027027027029E-2</v>
      </c>
      <c r="G16" s="457">
        <f>IF(ISNUMBER((Datos!N16-Datos!X16)/Datos!X16),(Datos!N16-Datos!X16)/Datos!X16," - ")</f>
        <v>-0.18106139438085328</v>
      </c>
      <c r="H16" s="455">
        <f>IF(ISNUMBER(((NºAsuntos!G16/NºAsuntos!E16)-Datos!BD16)/Datos!BD16),((NºAsuntos!G16/NºAsuntos!E16)-Datos!BD16)/Datos!BD16," - ")</f>
        <v>3.8385239737572338E-2</v>
      </c>
      <c r="I16" s="456">
        <f>IF(ISNUMBER(((NºAsuntos!I16/NºAsuntos!G16)-Datos!BE16)/Datos!BE16),((NºAsuntos!I16/NºAsuntos!G16)-Datos!BE16)/Datos!BE16," - ")</f>
        <v>0.18735375428288803</v>
      </c>
      <c r="J16" s="461">
        <f>IF(ISNUMBER((('Resol  Asuntos'!D16/NºAsuntos!G16)-Datos!BF16)/Datos!BF16),(('Resol  Asuntos'!D16/NºAsuntos!G16)-Datos!BF16)/Datos!BF16," - ")</f>
        <v>5.7256841040624909E-2</v>
      </c>
      <c r="K16" s="462">
        <f>IF(ISNUMBER((((NºAsuntos!C16+NºAsuntos!E16)/NºAsuntos!G16)-Datos!BG16)/Datos!BG16),(((NºAsuntos!C16+NºAsuntos!E16)/NºAsuntos!G16)-Datos!BG16)/Datos!BG16," - ")</f>
        <v>0.17194490353856617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-0.32</v>
      </c>
      <c r="C17" s="456">
        <f>IF(ISNUMBER(
   IF(D_I="SI",(Datos!J17-Datos!T17)/Datos!T17,(Datos!J17+Datos!AD17-(Datos!T17+Datos!AL17))/(Datos!T17+Datos!AL17))
     ),IF(D_I="SI",(Datos!J17-Datos!T17)/Datos!T17,(Datos!J17+Datos!AD17-(Datos!T17+Datos!AL17))/(Datos!T17+Datos!AL17))," - ")</f>
        <v>0.27067669172932329</v>
      </c>
      <c r="D17" s="456">
        <f>IF(ISNUMBER(
   IF(D_I="SI",(Datos!K17-Datos!U17)/Datos!U17,(Datos!K17+Datos!AE17-(Datos!U17+Datos!AM17))/(Datos!U17+Datos!AM17))
     ),IF(D_I="SI",(Datos!K17-Datos!U17)/Datos!U17,(Datos!K17+Datos!AE17-(Datos!U17+Datos!AM17))/(Datos!U17+Datos!AM17))," - ")</f>
        <v>6.0773480662983423E-2</v>
      </c>
      <c r="E17" s="456">
        <f>IF(ISNUMBER(
   IF(D_I="SI",(Datos!L17-Datos!V17)/Datos!V17,(Datos!L17+Datos!AF17-(Datos!V17+Datos!AN17))/(Datos!V17+Datos!AN17))
     ),IF(D_I="SI",(Datos!L17-Datos!V17)/Datos!V17,(Datos!L17+Datos!AF17-(Datos!V17+Datos!AN17))/(Datos!V17+Datos!AN17))," - ")</f>
        <v>-0.39393939393939392</v>
      </c>
      <c r="F17" s="456">
        <f>IF(ISNUMBER((Datos!M17-Datos!W17)/Datos!W17),(Datos!M17-Datos!W17)/Datos!W17," - ")</f>
        <v>1.25</v>
      </c>
      <c r="G17" s="457">
        <f>IF(ISNUMBER((Datos!N17-Datos!X17)/Datos!X17),(Datos!N17-Datos!X17)/Datos!X17," - ")</f>
        <v>-9.5238095238095233E-2</v>
      </c>
      <c r="H17" s="455">
        <f>IF(ISNUMBER(((NºAsuntos!G17/NºAsuntos!E17)-Datos!BD17)/Datos!BD17),((NºAsuntos!G17/NºAsuntos!E17)-Datos!BD17)/Datos!BD17," - ")</f>
        <v>-0.16519010101670531</v>
      </c>
      <c r="I17" s="456">
        <f>IF(ISNUMBER(((NºAsuntos!I17/NºAsuntos!G17)-Datos!BE17)/Datos!BE17),((NºAsuntos!I17/NºAsuntos!G17)-Datos!BE17)/Datos!BE17," - ")</f>
        <v>-0.42866161616161613</v>
      </c>
      <c r="J17" s="461">
        <f>IF(ISNUMBER((('Resol  Asuntos'!D17/NºAsuntos!G17)-Datos!BF17)/Datos!BF17),(('Resol  Asuntos'!D17/NºAsuntos!G17)-Datos!BF17)/Datos!BF17," - ")</f>
        <v>1.12109375</v>
      </c>
      <c r="K17" s="462">
        <f>IF(ISNUMBER((((NºAsuntos!C17+NºAsuntos!E17)/NºAsuntos!G17)-Datos!BG17)/Datos!BG17),(((NºAsuntos!C17+NºAsuntos!E17)/NºAsuntos!G17)-Datos!BG17)/Datos!BG17," - ")</f>
        <v>-9.7265164899882198E-2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0.18417104276069018</v>
      </c>
      <c r="C18" s="855">
        <f>IF(ISNUMBER(
   IF(Criterios!B14="SI",(Datos!J18-Datos!T18)/Datos!T18,(Datos!J18+Datos!AD18-(Datos!T18+Datos!AL18))/(Datos!T18+Datos!AL18))
     ),IF(Criterios!B14="SI",(Datos!J18-Datos!T18)/Datos!T18,(Datos!J18+Datos!AD18-(Datos!T18+Datos!AL18))/(Datos!T18+Datos!AL18))," - ")</f>
        <v>-8.6956521739130432E-2</v>
      </c>
      <c r="D18" s="855">
        <f>IF(ISNUMBER(
   IF(Criterios!B14="SI",(Datos!K18-Datos!U18)/Datos!U18,(Datos!K18+Datos!AE18-(Datos!U18+Datos!AM18))/(Datos!U18+Datos!AM18))
     ),IF(Criterios!B14="SI",(Datos!K18-Datos!U18)/Datos!U18,(Datos!K18+Datos!AE18-(Datos!U18+Datos!AM18))/(Datos!U18+Datos!AM18))," - ")</f>
        <v>-6.5180102915951971E-2</v>
      </c>
      <c r="E18" s="855">
        <f>IF(ISNUMBER(
   IF(Criterios!B14="SI",(Datos!L18-Datos!V18)/Datos!V18,(Datos!L18+Datos!AF18-(Datos!V18+Datos!AN18))/(Datos!V18+Datos!AN18))
     ),IF(Criterios!B14="SI",(Datos!L18-Datos!V18)/Datos!V18,(Datos!L18+Datos!AF18-(Datos!V18+Datos!AN18))/(Datos!V18+Datos!AN18))," - ")</f>
        <v>7.0745044429254958E-2</v>
      </c>
      <c r="F18" s="856">
        <f>IF(ISNUMBER((Datos!M18-Datos!W18)/Datos!W18),(Datos!M18-Datos!W18)/Datos!W18," - ")</f>
        <v>2.9520295202952029E-2</v>
      </c>
      <c r="G18" s="857">
        <f>IF(ISNUMBER((Datos!N18-Datos!X18)/Datos!X18),(Datos!N18-Datos!X18)/Datos!X18," - ")</f>
        <v>-0.16967509025270758</v>
      </c>
      <c r="H18" s="857">
        <f>IF(ISNUMBER(((NºAsuntos!G18/NºAsuntos!E18)-Datos!BD18)/Datos!BD18),((NºAsuntos!G18/NºAsuntos!E18)-Datos!BD18)/Datos!BD18," - ")</f>
        <v>2.3850363473005048E-2</v>
      </c>
      <c r="I18" s="857">
        <f>IF(ISNUMBER(((NºAsuntos!I18/NºAsuntos!G18)-Datos!BE18)/Datos!BE18),((NºAsuntos!I18/NºAsuntos!G18)-Datos!BE18)/Datos!BE18," - ")</f>
        <v>0.14540249706835898</v>
      </c>
      <c r="J18" s="857">
        <f>IF(ISNUMBER((('Resol  Asuntos'!D18/NºAsuntos!G18)-Datos!BF18)/Datos!BF18),(('Resol  Asuntos'!D18/NºAsuntos!G18)-Datos!BF18)/Datos!BF18," - ")</f>
        <v>0.10130336165746978</v>
      </c>
      <c r="K18" s="857">
        <f>IF(ISNUMBER((((NºAsuntos!C18+NºAsuntos!E18)/NºAsuntos!G18)-Datos!BG18)/Datos!BG18),(((NºAsuntos!C18+NºAsuntos!E18)/NºAsuntos!G18)-Datos!BG18)/Datos!BG18," - ")</f>
        <v>0.1457161477916479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0.23610493552690084</v>
      </c>
      <c r="C19" s="802">
        <f>IF(ISNUMBER(
   IF(J_V="SI",(Datos!J19-Datos!T19)/Datos!T19,(Datos!J19+Datos!Z19-(Datos!T19+Datos!AH19))/(Datos!T19+Datos!AH19))
     ),IF(J_V="SI",(Datos!J19-Datos!T19)/Datos!T19,(Datos!J19+Datos!Z19-(Datos!T19+Datos!AH19))/(Datos!T19+Datos!AH19))," - ")</f>
        <v>-0.10221371959551791</v>
      </c>
      <c r="D19" s="802">
        <f>IF(ISNUMBER(
   IF(J_V="SI",(Datos!K19-Datos!U19)/Datos!U19,(Datos!K19+Datos!AA19-(Datos!U19+Datos!AI19))/(Datos!U19+Datos!AI19))
     ),IF(J_V="SI",(Datos!K19-Datos!U19)/Datos!U19,(Datos!K19+Datos!AA19-(Datos!U19+Datos!AI19))/(Datos!U19+Datos!AI19))," - ")</f>
        <v>0.12081513828238719</v>
      </c>
      <c r="E19" s="802">
        <f>IF(ISNUMBER(
   IF(J_V="SI",(Datos!L19-Datos!V19)/Datos!V19,(Datos!L19+Datos!AB19-(Datos!V19+Datos!AJ19))/(Datos!V19+Datos!AJ19))
     ),IF(J_V="SI",(Datos!L19-Datos!V19)/Datos!V19,(Datos!L19+Datos!AB19-(Datos!V19+Datos!AJ19))/(Datos!V19+Datos!AJ19))," - ")</f>
        <v>0.12276352662211684</v>
      </c>
      <c r="F19" s="803">
        <f>IF(ISNUMBER((Datos!M19-Datos!W19)/Datos!W19),(Datos!M19-Datos!W19)/Datos!W19," - ")</f>
        <v>0.27666151468315303</v>
      </c>
      <c r="G19" s="804">
        <f>IF(ISNUMBER((Datos!N19-Datos!X19)/Datos!X19),(Datos!N19-Datos!X19)/Datos!X19," - ")</f>
        <v>9.2655367231638419E-2</v>
      </c>
      <c r="H19" s="805">
        <f>IF(ISNUMBER((Tasas!B19-Datos!BD19)/Datos!BD19),(Tasas!B19-Datos!BD19)/Datos!BD19," - ")</f>
        <v>0.24842088005335003</v>
      </c>
      <c r="I19" s="806">
        <f>IF(ISNUMBER((Tasas!C19-Datos!BE19)/Datos!BE19),(Tasas!C19-Datos!BE19)/Datos!BE19," - ")</f>
        <v>1.7383672589534509E-3</v>
      </c>
      <c r="J19" s="807">
        <f>IF(ISNUMBER((Tasas!D19-Datos!BF19)/Datos!BF19),(Tasas!D19-Datos!BF19)/Datos!BF19," - ")</f>
        <v>-0.21095970410745579</v>
      </c>
      <c r="K19" s="807">
        <f>IF(ISNUMBER((Tasas!E19-Datos!BG19)/Datos!BG19),(Tasas!E19-Datos!BG19)/Datos!BG19," - ")</f>
        <v>1.5586981173705871E-2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VqvpFUitWn5TQeVno0nfJJcOknXxudOWLR79DEThILSnHt+qU7mpFCM2UO8eNin+EmGfqmU2rqOoFr5U2RaQ==" saltValue="2b3ZUEGUcGBTf53Unw7Z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VIC</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0.76666666666666672</v>
      </c>
      <c r="C10" s="443">
        <f>IF(ISNUMBER(NºAsuntos!I10/NºAsuntos!G10),NºAsuntos!I10/NºAsuntos!G10," - ")</f>
        <v>4.6521739130434785</v>
      </c>
      <c r="D10" s="444">
        <f>IF(ISNUMBER('Resol  Asuntos'!D10/NºAsuntos!G10),'Resol  Asuntos'!D10/NºAsuntos!G10," - ")</f>
        <v>0.47826086956521741</v>
      </c>
      <c r="E10" s="445">
        <f>IF(ISNUMBER((NºAsuntos!C10+NºAsuntos!E10)/NºAsuntos!G10),(NºAsuntos!C10+NºAsuntos!E10)/NºAsuntos!G10," - ")</f>
        <v>5.6521739130434785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1.4497354497354498</v>
      </c>
      <c r="C12" s="443">
        <f>IF(ISNUMBER(NºAsuntos!I12/NºAsuntos!G12),NºAsuntos!I12/NºAsuntos!G12," - ")</f>
        <v>3.2741788321167884</v>
      </c>
      <c r="D12" s="444">
        <f>IF(ISNUMBER('Resol  Asuntos'!D12/NºAsuntos!G12),'Resol  Asuntos'!D12/NºAsuntos!G12," - ")</f>
        <v>0.24452554744525548</v>
      </c>
      <c r="E12" s="445">
        <f>IF(ISNUMBER((NºAsuntos!C12+NºAsuntos!E12)/NºAsuntos!G12),(NºAsuntos!C12+NºAsuntos!E12)/NºAsuntos!G12," - ")</f>
        <v>4.2769160583941606</v>
      </c>
      <c r="G12" s="463"/>
    </row>
    <row r="13" spans="1:7" ht="14.25" thickTop="1" thickBot="1">
      <c r="A13" s="848" t="str">
        <f>Datos!A13</f>
        <v>TOTAL</v>
      </c>
      <c r="B13" s="858">
        <f>IF(ISNUMBER(NºAsuntos!G13/NºAsuntos!E13),NºAsuntos!G13/NºAsuntos!E13," - ")</f>
        <v>1.4364461738002594</v>
      </c>
      <c r="C13" s="859">
        <f>IF(ISNUMBER(NºAsuntos!I13/NºAsuntos!G13),NºAsuntos!I13/NºAsuntos!G13," - ")</f>
        <v>3.2884875846501127</v>
      </c>
      <c r="D13" s="860">
        <f>IF(ISNUMBER('Resol  Asuntos'!D13/NºAsuntos!G13),'Resol  Asuntos'!D13/NºAsuntos!G13," - ")</f>
        <v>0.24695259593679458</v>
      </c>
      <c r="E13" s="861">
        <f>IF(ISNUMBER((NºAsuntos!C13+NºAsuntos!E13)/NºAsuntos!G13),(NºAsuntos!C13+NºAsuntos!E13)/NºAsuntos!G13," - ")</f>
        <v>4.2911963882618513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0.91677255400254132</v>
      </c>
      <c r="C16" s="443">
        <f>IF(ISNUMBER(NºAsuntos!I16/NºAsuntos!G16),NºAsuntos!I16/NºAsuntos!G16," - ")</f>
        <v>2.1157311157311156</v>
      </c>
      <c r="D16" s="444">
        <f>IF(ISNUMBER('Resol  Asuntos'!D16/NºAsuntos!G16),'Resol  Asuntos'!D16/NºAsuntos!G16," - ")</f>
        <v>0.17463617463617465</v>
      </c>
      <c r="E16" s="445">
        <f>IF(ISNUMBER((NºAsuntos!C16+NºAsuntos!E16)/NºAsuntos!G16),(NºAsuntos!C16+NºAsuntos!E16)/NºAsuntos!G16," - ")</f>
        <v>3.2079002079002077</v>
      </c>
      <c r="G16" s="463"/>
    </row>
    <row r="17" spans="1:7" ht="13.5" thickBot="1">
      <c r="A17" s="402" t="str">
        <f>Datos!A17</f>
        <v>Jdos. Violencia contra la mujer</v>
      </c>
      <c r="B17" s="442">
        <f>IF(ISNUMBER(NºAsuntos!G17/NºAsuntos!E17),NºAsuntos!G17/NºAsuntos!E17," - ")</f>
        <v>1.136094674556213</v>
      </c>
      <c r="C17" s="443">
        <f>IF(ISNUMBER(NºAsuntos!I17/NºAsuntos!G17),NºAsuntos!I17/NºAsuntos!G17," - ")</f>
        <v>0.41666666666666669</v>
      </c>
      <c r="D17" s="444">
        <f>IF(ISNUMBER('Resol  Asuntos'!D17/NºAsuntos!G17),'Resol  Asuntos'!D17/NºAsuntos!G17," - ")</f>
        <v>0.140625</v>
      </c>
      <c r="E17" s="445">
        <f>IF(ISNUMBER((NºAsuntos!C17+NºAsuntos!E17)/NºAsuntos!G17),(NºAsuntos!C17+NºAsuntos!E17)/NºAsuntos!G17," - ")</f>
        <v>1.4114583333333333</v>
      </c>
      <c r="G17" s="463"/>
    </row>
    <row r="18" spans="1:7" ht="14.25" thickTop="1" thickBot="1">
      <c r="A18" s="848" t="str">
        <f>Datos!A18</f>
        <v>TOTAL</v>
      </c>
      <c r="B18" s="858">
        <f>IF(ISNUMBER(NºAsuntos!G18/NºAsuntos!E18),NºAsuntos!G18/NºAsuntos!E18," - ")</f>
        <v>0.93803786574870918</v>
      </c>
      <c r="C18" s="859">
        <f>IF(ISNUMBER(NºAsuntos!I18/NºAsuntos!G18),NºAsuntos!I18/NºAsuntos!G18," - ")</f>
        <v>1.9162079510703365</v>
      </c>
      <c r="D18" s="862">
        <f>IF(ISNUMBER('Resol  Asuntos'!D18/NºAsuntos!G18),'Resol  Asuntos'!D18/NºAsuntos!G18," - ")</f>
        <v>0.17064220183486239</v>
      </c>
      <c r="E18" s="861">
        <f>IF(ISNUMBER((NºAsuntos!C18+NºAsuntos!E18)/NºAsuntos!G18),(NºAsuntos!C18+NºAsuntos!E18)/NºAsuntos!G18," - ")</f>
        <v>2.9969418960244649</v>
      </c>
      <c r="G18" s="463"/>
    </row>
    <row r="19" spans="1:7" ht="15.75" customHeight="1" thickTop="1" thickBot="1">
      <c r="A19" s="793" t="str">
        <f>Datos!A19</f>
        <v>TOTAL JURISDICCIONES</v>
      </c>
      <c r="B19" s="808">
        <f>IF(ISNUMBER(NºAsuntos!G19/NºAsuntos!E19),NºAsuntos!G19/NºAsuntos!E19," - ")</f>
        <v>1.1719939117199392</v>
      </c>
      <c r="C19" s="809">
        <f>IF(ISNUMBER(NºAsuntos!I19/NºAsuntos!G19),NºAsuntos!I19/NºAsuntos!G19," - ")</f>
        <v>2.7057142857142855</v>
      </c>
      <c r="D19" s="810">
        <f>IF(ISNUMBER('Resol  Asuntos'!D19/NºAsuntos!G19),'Resol  Asuntos'!D19/NºAsuntos!G19," - ")</f>
        <v>0.21454545454545454</v>
      </c>
      <c r="E19" s="811">
        <f>IF(ISNUMBER((NºAsuntos!C19+NºAsuntos!E19)/NºAsuntos!G19),(NºAsuntos!C19+NºAsuntos!E19)/NºAsuntos!G19," - ")</f>
        <v>3.7415584415584417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e8VYh52sbazp4D6ZbRNXY/I5QPBvyvgaVyky6qpyw2aLm1iwJEc2Xb0xUjCxoW1YDBLZQzczJb43RJGPD2IBA==" saltValue="dL3Ke4Pw16/eJaXci5rz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VIC</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100</v>
      </c>
      <c r="G10" s="333">
        <f>IF(ISNUMBER(Datos!I10),Datos!I10," - ")</f>
        <v>100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23</v>
      </c>
      <c r="X10" s="226">
        <f>IF(ISNUMBER(Datos!Q10),Datos!Q10," - ")</f>
        <v>22</v>
      </c>
      <c r="Y10" s="334">
        <f t="shared" ref="Y10:Y12" si="0">SUM(W10:X10)</f>
        <v>45</v>
      </c>
      <c r="Z10" s="335" t="str">
        <f>IF(ISNUMBER(Datos!CC10),Datos!CC10," - ")</f>
        <v xml:space="preserve"> - </v>
      </c>
      <c r="AA10" s="332">
        <f>IF(ISNUMBER(Datos!L10),Datos!L10,"-")</f>
        <v>107</v>
      </c>
      <c r="AB10" s="334">
        <f>IF(ISNUMBER(Datos!R10),Datos!R10," - ")</f>
        <v>55</v>
      </c>
      <c r="AC10" s="334">
        <f t="shared" ref="AC10:AC12" si="1">IF(ISNUMBER(AA10+AB10),AA10+AB10," - ")</f>
        <v>162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0.76666666666666672</v>
      </c>
      <c r="AM10" s="260">
        <f>IF(ISNUMBER(((NºAsuntos!I10/NºAsuntos!G10)*11)/factor_trimestre),((NºAsuntos!I10/NºAsuntos!G10)*11)/factor_trimestre," - ")</f>
        <v>13.956521739130437</v>
      </c>
      <c r="AN10" s="244">
        <f>IF(ISNUMBER('Resol  Asuntos'!D10/NºAsuntos!G10),'Resol  Asuntos'!D10/NºAsuntos!G10," - ")</f>
        <v>0.47826086956521741</v>
      </c>
      <c r="AO10" s="245">
        <f>IF(ISNUMBER((NºAsuntos!C10+NºAsuntos!E10)/NºAsuntos!G10),(NºAsuntos!C10+NºAsuntos!E10)/NºAsuntos!G10," - ")</f>
        <v>5.6521739130434785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623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747</v>
      </c>
      <c r="Y12" s="334">
        <f t="shared" si="0"/>
        <v>747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8286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536</v>
      </c>
      <c r="AJ12" s="229" t="str">
        <f>IF(ISNUMBER(Datos!BW12),Datos!BW12," - ")</f>
        <v xml:space="preserve"> - </v>
      </c>
      <c r="AK12" s="228" t="str">
        <f>IF(ISNUMBER(Datos!BX12),Datos!BX12," - ")</f>
        <v xml:space="preserve"> - </v>
      </c>
      <c r="AL12" s="243">
        <f>IF(ISNUMBER(NºAsuntos!G12/NºAsuntos!E12),NºAsuntos!G12/NºAsuntos!E12," - ")</f>
        <v>1.4497354497354498</v>
      </c>
      <c r="AM12" s="260">
        <f>IF(ISNUMBER(((NºAsuntos!I12/NºAsuntos!G12)*11)/factor_trimestre),((NºAsuntos!I12/NºAsuntos!G12)*11)/factor_trimestre," - ")</f>
        <v>9.8225364963503647</v>
      </c>
      <c r="AN12" s="244">
        <f>IF(ISNUMBER('Resol  Asuntos'!D12/NºAsuntos!G12),'Resol  Asuntos'!D12/NºAsuntos!G12," - ")</f>
        <v>0.24452554744525548</v>
      </c>
      <c r="AO12" s="245">
        <f>IF(ISNUMBER((NºAsuntos!C12+NºAsuntos!E12)/NºAsuntos!G12),(NºAsuntos!C12+NºAsuntos!E12)/NºAsuntos!G12," - ")</f>
        <v>4.2769160583941606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100</v>
      </c>
      <c r="G13" s="866">
        <f t="shared" si="3"/>
        <v>100</v>
      </c>
      <c r="H13" s="865">
        <f t="shared" si="3"/>
        <v>0</v>
      </c>
      <c r="I13" s="867">
        <f t="shared" si="3"/>
        <v>0</v>
      </c>
      <c r="J13" s="867">
        <f t="shared" si="3"/>
        <v>0</v>
      </c>
      <c r="K13" s="867">
        <f t="shared" si="3"/>
        <v>0</v>
      </c>
      <c r="L13" s="867">
        <f t="shared" si="3"/>
        <v>627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23</v>
      </c>
      <c r="X13" s="867">
        <f t="shared" si="4"/>
        <v>769</v>
      </c>
      <c r="Y13" s="868">
        <f t="shared" si="4"/>
        <v>792</v>
      </c>
      <c r="Z13" s="868">
        <f t="shared" si="4"/>
        <v>0</v>
      </c>
      <c r="AA13" s="868">
        <f t="shared" si="4"/>
        <v>107</v>
      </c>
      <c r="AB13" s="868">
        <f t="shared" si="4"/>
        <v>8341</v>
      </c>
      <c r="AC13" s="868">
        <f t="shared" si="4"/>
        <v>162</v>
      </c>
      <c r="AD13" s="868">
        <f t="shared" si="4"/>
        <v>0</v>
      </c>
      <c r="AE13" s="872">
        <f t="shared" si="4"/>
        <v>0</v>
      </c>
      <c r="AF13" s="865">
        <f t="shared" si="4"/>
        <v>0</v>
      </c>
      <c r="AG13" s="873">
        <f t="shared" si="4"/>
        <v>0</v>
      </c>
      <c r="AH13" s="870">
        <f t="shared" si="4"/>
        <v>0</v>
      </c>
      <c r="AI13" s="865">
        <f t="shared" si="4"/>
        <v>547</v>
      </c>
      <c r="AJ13" s="867">
        <f t="shared" si="4"/>
        <v>0</v>
      </c>
      <c r="AK13" s="870">
        <f>SUBTOTAL(9,AK9:AK12)</f>
        <v>0</v>
      </c>
      <c r="AL13" s="874">
        <f>IF(ISNUMBER(NºAsuntos!G13/NºAsuntos!E13),NºAsuntos!G13/NºAsuntos!E13," - ")</f>
        <v>1.4364461738002594</v>
      </c>
      <c r="AM13" s="874">
        <f>IF(ISNUMBER(((NºAsuntos!I13/NºAsuntos!G13)*11)/factor_trimestre),((NºAsuntos!I13/NºAsuntos!G13)*11)/factor_trimestre," - ")</f>
        <v>9.8654627539503377</v>
      </c>
      <c r="AN13" s="875">
        <f>IF(ISNUMBER('Resol  Asuntos'!D13/NºAsuntos!G13),'Resol  Asuntos'!D13/NºAsuntos!G13," - ")</f>
        <v>0.24695259593679458</v>
      </c>
      <c r="AO13" s="876">
        <f>IF(ISNUMBER((NºAsuntos!C13+NºAsuntos!E13)/NºAsuntos!G13),(NºAsuntos!C13+NºAsuntos!E13)/NºAsuntos!G13," - ")</f>
        <v>4.2911963882618513</v>
      </c>
      <c r="AP13" s="877" t="str">
        <f t="shared" si="2"/>
        <v xml:space="preserve"> - </v>
      </c>
      <c r="AQ13" s="877">
        <f>IF(ISNUMBER((H13-W13+K13)/(F13)),(H13-W13+K13)/(F13)," - ")</f>
        <v>-0.23</v>
      </c>
      <c r="AR13" s="878">
        <f>IF(ISNUMBER((Datos!P13-Datos!Q13)/(Datos!R13-Datos!P13+Datos!Q13)),(Datos!P13-Datos!Q13)/(Datos!R13-Datos!P13+Datos!Q13)," - ")</f>
        <v>-1.6739361075091358E-2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5</v>
      </c>
      <c r="F16" s="225">
        <f>IF(ISNUMBER(AA16+W16-Datos!J16-K16),AA16+W16-Datos!J16-K16," - ")</f>
        <v>2922</v>
      </c>
      <c r="G16" s="333">
        <f>IF(ISNUMBER(IF(D_I="SI",Datos!I16,Datos!I16+Datos!AC16)),IF(D_I="SI",Datos!I16,Datos!I16+Datos!AC16)," - ")</f>
        <v>3055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1443</v>
      </c>
      <c r="X16" s="226">
        <f>IF(ISNUMBER(Datos!Q16),Datos!Q16," - ")</f>
        <v>77</v>
      </c>
      <c r="Y16" s="334">
        <f t="shared" ref="Y16:Y17" si="7">SUM(W16:X16)</f>
        <v>1520</v>
      </c>
      <c r="Z16" s="335" t="str">
        <f>IF(ISNUMBER(Datos!CC16),Datos!CC16," - ")</f>
        <v xml:space="preserve"> - </v>
      </c>
      <c r="AA16" s="332">
        <f>IF(ISNUMBER(IF(D_I="SI",Datos!L16,Datos!L16+Datos!AF16)),IF(D_I="SI",Datos!L16,Datos!L16+Datos!AF16)," - ")</f>
        <v>3053</v>
      </c>
      <c r="AB16" s="334">
        <f>IF(ISNUMBER(Datos!R16),Datos!R16," - ")</f>
        <v>318</v>
      </c>
      <c r="AC16" s="334">
        <f t="shared" si="6"/>
        <v>3371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252</v>
      </c>
      <c r="AJ16" s="231" t="str">
        <f>IF(ISNUMBER(Datos!BW16),Datos!BW16," - ")</f>
        <v xml:space="preserve"> - </v>
      </c>
      <c r="AK16" s="232" t="str">
        <f>IF(ISNUMBER(Datos!BX16),Datos!BX16," - ")</f>
        <v xml:space="preserve"> - </v>
      </c>
      <c r="AL16" s="243">
        <f>IF(ISNUMBER(NºAsuntos!G16/NºAsuntos!E16),NºAsuntos!G16/NºAsuntos!E16," - ")</f>
        <v>0.91677255400254132</v>
      </c>
      <c r="AM16" s="260">
        <f>IF(ISNUMBER(((NºAsuntos!I16/NºAsuntos!G16)*11)/factor_trimestre),((NºAsuntos!I16/NºAsuntos!G16)*11)/factor_trimestre," - ")</f>
        <v>6.3471933471933468</v>
      </c>
      <c r="AN16" s="244">
        <f>IF(ISNUMBER('Resol  Asuntos'!D16/NºAsuntos!G16),'Resol  Asuntos'!D16/NºAsuntos!G16," - ")</f>
        <v>0.17463617463617465</v>
      </c>
      <c r="AO16" s="245">
        <f>IF(ISNUMBER((NºAsuntos!C16+NºAsuntos!E16)/NºAsuntos!G16),(NºAsuntos!C16+NºAsuntos!E16)/NºAsuntos!G16," - ")</f>
        <v>3.2079002079002077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192</v>
      </c>
      <c r="X17" s="226">
        <f>IF(ISNUMBER(Datos!Q17),Datos!Q17," - ")</f>
        <v>2</v>
      </c>
      <c r="Y17" s="334">
        <f t="shared" si="7"/>
        <v>194</v>
      </c>
      <c r="Z17" s="335" t="str">
        <f>IF(ISNUMBER(Datos!CC17),Datos!CC17," - ")</f>
        <v xml:space="preserve"> - </v>
      </c>
      <c r="AA17" s="332">
        <f>IF(ISNUMBER(Datos!L17),Datos!L17,"-")</f>
        <v>80</v>
      </c>
      <c r="AB17" s="334">
        <f>IF(ISNUMBER(Datos!R17),Datos!R17," - ")</f>
        <v>3</v>
      </c>
      <c r="AC17" s="334">
        <f t="shared" si="6"/>
        <v>83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27</v>
      </c>
      <c r="AJ17" s="231" t="str">
        <f>IF(ISNUMBER(Datos!BW17),Datos!BW17," - ")</f>
        <v xml:space="preserve"> - </v>
      </c>
      <c r="AK17" s="232" t="str">
        <f>IF(ISNUMBER(Datos!BX17),Datos!BX17," - ")</f>
        <v xml:space="preserve"> - </v>
      </c>
      <c r="AL17" s="243">
        <f>IF(ISNUMBER(NºAsuntos!G17/NºAsuntos!E17),NºAsuntos!G17/NºAsuntos!E17," - ")</f>
        <v>1.136094674556213</v>
      </c>
      <c r="AM17" s="260">
        <f>IF(ISNUMBER(((NºAsuntos!I17/NºAsuntos!G17)*11)/factor_trimestre),((NºAsuntos!I17/NºAsuntos!G17)*11)/factor_trimestre," - ")</f>
        <v>1.2500000000000002</v>
      </c>
      <c r="AN17" s="244">
        <f>IF(ISNUMBER('Resol  Asuntos'!D17/NºAsuntos!G17),'Resol  Asuntos'!D17/NºAsuntos!G17," - ")</f>
        <v>0.140625</v>
      </c>
      <c r="AO17" s="245">
        <f>IF(ISNUMBER((NºAsuntos!C17+NºAsuntos!E17)/NºAsuntos!G17),(NºAsuntos!C17+NºAsuntos!E17)/NºAsuntos!G17," - ")</f>
        <v>1.4114583333333333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2922</v>
      </c>
      <c r="G18" s="866">
        <f>SUBTOTAL(9,G15:G17)</f>
        <v>3157</v>
      </c>
      <c r="H18" s="865">
        <f t="shared" ref="H18:O18" si="10">SUBTOTAL(9,H14:H17)</f>
        <v>0</v>
      </c>
      <c r="I18" s="867">
        <f t="shared" si="10"/>
        <v>0</v>
      </c>
      <c r="J18" s="867">
        <f t="shared" si="10"/>
        <v>0</v>
      </c>
      <c r="K18" s="867">
        <f t="shared" si="10"/>
        <v>0</v>
      </c>
      <c r="L18" s="867">
        <f t="shared" si="10"/>
        <v>68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1635</v>
      </c>
      <c r="X18" s="867">
        <f t="shared" si="11"/>
        <v>79</v>
      </c>
      <c r="Y18" s="868">
        <f t="shared" si="11"/>
        <v>1714</v>
      </c>
      <c r="Z18" s="868">
        <f t="shared" si="11"/>
        <v>0</v>
      </c>
      <c r="AA18" s="868">
        <f t="shared" si="11"/>
        <v>3133</v>
      </c>
      <c r="AB18" s="868">
        <f t="shared" si="11"/>
        <v>321</v>
      </c>
      <c r="AC18" s="868">
        <f t="shared" si="11"/>
        <v>3454</v>
      </c>
      <c r="AD18" s="868">
        <f t="shared" si="11"/>
        <v>0</v>
      </c>
      <c r="AE18" s="872">
        <f t="shared" si="11"/>
        <v>0</v>
      </c>
      <c r="AF18" s="865">
        <f t="shared" si="11"/>
        <v>0</v>
      </c>
      <c r="AG18" s="873">
        <f t="shared" si="11"/>
        <v>0</v>
      </c>
      <c r="AH18" s="870">
        <f t="shared" si="11"/>
        <v>0</v>
      </c>
      <c r="AI18" s="865">
        <f t="shared" si="11"/>
        <v>279</v>
      </c>
      <c r="AJ18" s="867">
        <f t="shared" si="11"/>
        <v>0</v>
      </c>
      <c r="AK18" s="870">
        <f t="shared" si="11"/>
        <v>0</v>
      </c>
      <c r="AL18" s="874">
        <f>IF(ISNUMBER(NºAsuntos!G18/NºAsuntos!E18),NºAsuntos!G18/NºAsuntos!E18," - ")</f>
        <v>0.93803786574870918</v>
      </c>
      <c r="AM18" s="874">
        <f>IF(ISNUMBER(((NºAsuntos!I18/NºAsuntos!G18)*11)/factor_trimestre),((NºAsuntos!I18/NºAsuntos!G18)*11)/factor_trimestre," - ")</f>
        <v>5.7486238532110097</v>
      </c>
      <c r="AN18" s="875">
        <f>IF(ISNUMBER('Resol  Asuntos'!D18/NºAsuntos!G18),'Resol  Asuntos'!D18/NºAsuntos!G18," - ")</f>
        <v>0.17064220183486239</v>
      </c>
      <c r="AO18" s="876">
        <f>IF(ISNUMBER((NºAsuntos!C18+NºAsuntos!E18)/NºAsuntos!G18),(NºAsuntos!C18+NºAsuntos!E18)/NºAsuntos!G18," - ")</f>
        <v>2.9969418960244649</v>
      </c>
      <c r="AP18" s="877" t="str">
        <f t="shared" si="2"/>
        <v xml:space="preserve"> - </v>
      </c>
      <c r="AQ18" s="877">
        <f>IF(ISNUMBER((H18-W18+K18)/(F18)),(H18-W18+K18)/(F18)," - ")</f>
        <v>-0.55954825462012325</v>
      </c>
      <c r="AR18" s="878">
        <f>IF(ISNUMBER((Datos!P18-Datos!Q18)/(Datos!R18-Datos!P18+Datos!Q18)),(Datos!P18-Datos!Q18)/(Datos!R18-Datos!P18+Datos!Q18)," - ")</f>
        <v>-3.313253012048193E-2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3022</v>
      </c>
      <c r="G19" s="821">
        <f t="shared" si="13"/>
        <v>3257</v>
      </c>
      <c r="H19" s="820">
        <f t="shared" si="13"/>
        <v>0</v>
      </c>
      <c r="I19" s="822">
        <f t="shared" si="13"/>
        <v>0</v>
      </c>
      <c r="J19" s="822">
        <f t="shared" si="13"/>
        <v>0</v>
      </c>
      <c r="K19" s="881">
        <f t="shared" si="13"/>
        <v>0</v>
      </c>
      <c r="L19" s="822">
        <f t="shared" si="13"/>
        <v>695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1658</v>
      </c>
      <c r="X19" s="821">
        <f t="shared" si="14"/>
        <v>848</v>
      </c>
      <c r="Y19" s="828">
        <f t="shared" si="14"/>
        <v>2506</v>
      </c>
      <c r="Z19" s="828">
        <f t="shared" si="14"/>
        <v>0</v>
      </c>
      <c r="AA19" s="828">
        <f t="shared" si="14"/>
        <v>3240</v>
      </c>
      <c r="AB19" s="828">
        <f t="shared" si="14"/>
        <v>8662</v>
      </c>
      <c r="AC19" s="828">
        <f t="shared" si="14"/>
        <v>3616</v>
      </c>
      <c r="AD19" s="828">
        <f t="shared" si="14"/>
        <v>0</v>
      </c>
      <c r="AE19" s="830">
        <f t="shared" si="14"/>
        <v>0</v>
      </c>
      <c r="AF19" s="831">
        <f t="shared" si="14"/>
        <v>0</v>
      </c>
      <c r="AG19" s="832">
        <f t="shared" si="14"/>
        <v>0</v>
      </c>
      <c r="AH19" s="830">
        <f t="shared" si="14"/>
        <v>0</v>
      </c>
      <c r="AI19" s="820">
        <f t="shared" si="14"/>
        <v>826</v>
      </c>
      <c r="AJ19" s="820">
        <f t="shared" si="14"/>
        <v>0</v>
      </c>
      <c r="AK19" s="830">
        <f t="shared" si="14"/>
        <v>0</v>
      </c>
      <c r="AL19" s="884">
        <f>IF(ISNUMBER(NºAsuntos!G19/NºAsuntos!E19),NºAsuntos!G19/NºAsuntos!E19," - ")</f>
        <v>1.1719939117199392</v>
      </c>
      <c r="AM19" s="885">
        <f>IF(ISNUMBER(((NºAsuntos!I19/NºAsuntos!G19)*11)/factor_trimestre),((NºAsuntos!I19/NºAsuntos!G19)*11)/factor_trimestre," - ")</f>
        <v>8.1171428571428574</v>
      </c>
      <c r="AN19" s="885">
        <f>IF(ISNUMBER('Resol  Asuntos'!D19/NºAsuntos!G19),'Resol  Asuntos'!D19/NºAsuntos!G19," - ")</f>
        <v>0.21454545454545454</v>
      </c>
      <c r="AO19" s="886">
        <f>IF(ISNUMBER((NºAsuntos!C19+NºAsuntos!E19)/NºAsuntos!G19),(NºAsuntos!C19+NºAsuntos!E19)/NºAsuntos!G19," - ")</f>
        <v>3.7415584415584417</v>
      </c>
      <c r="AP19" s="887" t="str">
        <f t="shared" si="2"/>
        <v xml:space="preserve"> - </v>
      </c>
      <c r="AQ19" s="888">
        <f>IF(OR(ISNUMBER(FIND("01",Criterios!A8,1)),ISNUMBER(FIND("02",Criterios!A8,1)),ISNUMBER(FIND("03",Criterios!A8,1)),ISNUMBER(FIND("04",Criterios!A8,1))),(I19-W19+K19)/(F19-K19),(H19-W19+K19)/(F19-K19))</f>
        <v>-0.54864328259430839</v>
      </c>
      <c r="AR19" s="889">
        <f>IF(ISNUMBER((Datos!P19-Datos!Q19)/(Datos!R19-Datos!P19+Datos!Q19)),(Datos!P19-Datos!Q19)/(Datos!R19-Datos!P19+Datos!Q19)," - ")</f>
        <v>-1.735677821894498E-2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1302.8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1629.2824596531239</v>
      </c>
      <c r="G21" s="253">
        <f>IF(ISNUMBER(STDEV(G8:G18)),STDEV(G8:G18),"-")</f>
        <v>1646.484041829741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805.32987030160507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234.02962775398046</v>
      </c>
      <c r="AJ21" s="252">
        <f t="shared" si="18"/>
        <v>0</v>
      </c>
      <c r="AK21" s="254">
        <f t="shared" si="18"/>
        <v>0</v>
      </c>
      <c r="AL21" s="249">
        <f t="shared" si="18"/>
        <v>0.2854504578489564</v>
      </c>
      <c r="AM21" s="250">
        <f t="shared" si="18"/>
        <v>4.3697781031317078</v>
      </c>
      <c r="AN21" s="250">
        <f t="shared" si="18"/>
        <v>0.12308907739435662</v>
      </c>
      <c r="AO21" s="251">
        <f t="shared" si="18"/>
        <v>1.445350658607796</v>
      </c>
      <c r="AP21" s="291" t="str">
        <f t="shared" si="18"/>
        <v>-</v>
      </c>
      <c r="AQ21" s="292">
        <f t="shared" si="18"/>
        <v>0.23302580557008021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B1kO3pChcTsRYF6vtRQUyen3jEpy0Iry8xfs3jfeAtryFjDOuzGYBVE5aKfoTH6CxxG/YsvSbs6zkxmaSKW50A==" saltValue="a7Q15IzsUWODOC5ocEoi0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VIC</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5.2631578947368418E-2</v>
      </c>
      <c r="E10" s="348">
        <f>IF(ISNUMBER((Datos!J10-Datos!T10)/Datos!T10),(Datos!J10-Datos!T10)/Datos!T10," - ")</f>
        <v>0.30434782608695654</v>
      </c>
      <c r="F10" s="348">
        <f>IF(ISNUMBER((Datos!K10-Datos!U10)/Datos!U10),(Datos!K10-Datos!U10)/Datos!U10," - ")</f>
        <v>-0.14814814814814814</v>
      </c>
      <c r="G10" s="349">
        <f>IF(ISNUMBER((Datos!L10-Datos!V10)/Datos!V10),(Datos!L10-Datos!V10)/Datos!V10," - ")</f>
        <v>0.17582417582417584</v>
      </c>
      <c r="H10" s="230">
        <f>IF(ISNUMBER((Datos!M10-Datos!W10)/Datos!W10),(Datos!M10-Datos!W10)/Datos!W10," - ")</f>
        <v>0</v>
      </c>
      <c r="I10" s="350">
        <f>IF(ISNUMBER((Tasas!C10-Datos!BE10)/Datos!BE10),(Tasas!C10-Datos!BE10)/Datos!BE10," - ")</f>
        <v>0.38031533683707608</v>
      </c>
      <c r="J10" s="349">
        <f>IF(ISNUMBER((Tasas!D10-Datos!BF10)/Datos!BF10),(Tasas!D10-Datos!BF10)/Datos!BF10," - ")</f>
        <v>0.17391304347826098</v>
      </c>
      <c r="K10" s="351">
        <f>IF(ISNUMBER((Tasas!E10-Datos!BG10)/Datos!BG10),(Tasas!E10-Datos!BG10)/Datos!BG10," - ")</f>
        <v>0.29329403095062645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0.46849315068493153</v>
      </c>
      <c r="I12" s="350">
        <f>IF(ISNUMBER((Tasas!C12-Datos!BE12)/Datos!BE12),(Tasas!C12-Datos!BE12)/Datos!BE12," - ")</f>
        <v>-0.13242889594605461</v>
      </c>
      <c r="J12" s="349">
        <f>IF(ISNUMBER((Tasas!D12-Datos!BF12)/Datos!BF12),(Tasas!D12-Datos!BF12)/Datos!BF12," - ")</f>
        <v>-0.37780999507411223</v>
      </c>
      <c r="K12" s="351">
        <f>IF(ISNUMBER((Tasas!E12-Datos!BG12)/Datos!BG12),(Tasas!E12-Datos!BG12)/Datos!BG12," - ")</f>
        <v>-0.10884152965637876</v>
      </c>
      <c r="M12" t="e">
        <f>IF(Monitorios="SI",Datos!CE12,0)</f>
        <v>#REF!</v>
      </c>
      <c r="N12" t="e">
        <f>IF(Monitorios="SI",Datos!CF12,0)</f>
        <v>#REF!</v>
      </c>
      <c r="O12" t="e">
        <f>IF(Monitorios="SI",Datos!CG12,0)</f>
        <v>#REF!</v>
      </c>
      <c r="P12" t="e">
        <f>IF(Monitorios="SI",Datos!CH12,0)</f>
        <v>#REF!</v>
      </c>
      <c r="Q12">
        <f>IF(J_V="SI",0,Datos!AG12)</f>
        <v>103</v>
      </c>
      <c r="R12">
        <f>IF(J_V="SI",0,Datos!AH12)</f>
        <v>102</v>
      </c>
      <c r="S12">
        <f>IF(J_V="SI",0,Datos!AI12)</f>
        <v>125</v>
      </c>
      <c r="T12">
        <f>IF(J_V="SI",0,Datos!AJ12)</f>
        <v>80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0.45478723404255317</v>
      </c>
      <c r="I13" s="357">
        <f>IF(ISNUMBER((Tasas!C13-Datos!BE13)/Datos!BE13),(Tasas!C13-Datos!BE13)/Datos!BE13," - ")</f>
        <v>-0.12714262158059034</v>
      </c>
      <c r="J13" s="355">
        <f>IF(ISNUMBER((Tasas!D13-Datos!BF13)/Datos!BF13),(Tasas!D13-Datos!BF13)/Datos!BF13," - ")</f>
        <v>-0.37200290083041382</v>
      </c>
      <c r="K13" s="358">
        <f>IF(ISNUMBER((Tasas!E13-Datos!BG13)/Datos!BG13),(Tasas!E13-Datos!BG13)/Datos!BG13," - ")</f>
        <v>-0.10458451601367799</v>
      </c>
      <c r="M13" t="e">
        <f>IF(Monitorios="SI",Datos!CE13,0)</f>
        <v>#REF!</v>
      </c>
      <c r="N13" t="e">
        <f>IF(Monitorios="SI",Datos!CF13,0)</f>
        <v>#REF!</v>
      </c>
      <c r="O13" t="e">
        <f>IF(Monitorios="SI",Datos!CG13,0)</f>
        <v>#REF!</v>
      </c>
      <c r="P13" t="e">
        <f>IF(Monitorios="SI",Datos!CH13,0)</f>
        <v>#REF!</v>
      </c>
      <c r="Q13">
        <f>IF(J_V="SI",0,Datos!AG13)</f>
        <v>103</v>
      </c>
      <c r="R13">
        <f>IF(J_V="SI",0,Datos!AH13)</f>
        <v>102</v>
      </c>
      <c r="S13">
        <f>IF(J_V="SI",0,Datos!AI13)</f>
        <v>125</v>
      </c>
      <c r="T13">
        <f>IF(J_V="SI",0,Datos!AJ13)</f>
        <v>80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0.21422893481717012</v>
      </c>
      <c r="E16" s="348">
        <f>IF(ISNUMBER(
   IF(D_I="SI",(Datos!J16-Datos!T16)/Datos!T16,(Datos!J16+Datos!AD16-(Datos!T16+Datos!AL16))/(Datos!T16+Datos!AL16))
     ),IF(D_I="SI",(Datos!J16-Datos!T16)/Datos!T16,(Datos!J16+Datos!AD16-(Datos!T16+Datos!AL16))/(Datos!T16+Datos!AL16))," - ")</f>
        <v>-0.11373873873873874</v>
      </c>
      <c r="F16" s="348">
        <f>IF(ISNUMBER(
   IF(D_I="SI",(Datos!K16-Datos!U16)/Datos!U16,(Datos!K16+Datos!AE16-(Datos!U16+Datos!AM16))/(Datos!U16+Datos!AM16))
     ),IF(D_I="SI",(Datos!K16-Datos!U16)/Datos!U16,(Datos!K16+Datos!AE16-(Datos!U16+Datos!AM16))/(Datos!U16+Datos!AM16))," - ")</f>
        <v>-7.9719387755102039E-2</v>
      </c>
      <c r="G16" s="349">
        <f>IF(ISNUMBER(
   IF(D_I="SI",(Datos!L16-Datos!V16)/Datos!V16,(Datos!L16+Datos!AF16-(Datos!V16+Datos!AN16))/(Datos!V16+Datos!AN16))
     ),IF(D_I="SI",(Datos!L16-Datos!V16)/Datos!V16,(Datos!L16+Datos!AF16-(Datos!V16+Datos!AN16))/(Datos!V16+Datos!AN16))," - ")</f>
        <v>9.2698639942734432E-2</v>
      </c>
      <c r="H16" s="230">
        <f>IF(ISNUMBER((Datos!M16-Datos!W16)/Datos!W16),(Datos!M16-Datos!W16)/Datos!W16," - ")</f>
        <v>-2.7027027027027029E-2</v>
      </c>
      <c r="I16" s="350">
        <f>IF(ISNUMBER((Tasas!C16-Datos!BE16)/Datos!BE16),(Tasas!C16-Datos!BE16)/Datos!BE16," - ")</f>
        <v>0.18735375428288803</v>
      </c>
      <c r="J16" s="349">
        <f>IF(ISNUMBER((Tasas!D16-Datos!BF16)/Datos!BF16),(Tasas!D16-Datos!BF16)/Datos!BF16," - ")</f>
        <v>5.7256841040624909E-2</v>
      </c>
      <c r="K16" s="351">
        <f>IF(ISNUMBER((Tasas!E16-Datos!BG16)/Datos!BG16),(Tasas!E16-Datos!BG16)/Datos!BG16," - ")</f>
        <v>0.17194490353856617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-0.32</v>
      </c>
      <c r="E17" s="348">
        <f>IF(ISNUMBER(
   IF(D_I="SI",(Datos!J17-Datos!T17)/Datos!T17,(Datos!J17+Datos!AD17-(Datos!T17+Datos!AL17))/(Datos!T17+Datos!AL17))
     ),IF(D_I="SI",(Datos!J17-Datos!T17)/Datos!T17,(Datos!J17+Datos!AD17-(Datos!T17+Datos!AL17))/(Datos!T17+Datos!AL17))," - ")</f>
        <v>0.27067669172932329</v>
      </c>
      <c r="F17" s="348">
        <f>IF(ISNUMBER(
   IF(D_I="SI",(Datos!K17-Datos!U17)/Datos!U17,(Datos!K17+Datos!AE17-(Datos!U17+Datos!AM17))/(Datos!U17+Datos!AM17))
     ),IF(D_I="SI",(Datos!K17-Datos!U17)/Datos!U17,(Datos!K17+Datos!AE17-(Datos!U17+Datos!AM17))/(Datos!U17+Datos!AM17))," - ")</f>
        <v>6.0773480662983423E-2</v>
      </c>
      <c r="G17" s="349">
        <f>IF(ISNUMBER(
   IF(D_I="SI",(Datos!L17-Datos!V17)/Datos!V17,(Datos!L17+Datos!AF17-(Datos!V17+Datos!AN17))/(Datos!V17+Datos!AN17))
     ),IF(D_I="SI",(Datos!L17-Datos!V17)/Datos!V17,(Datos!L17+Datos!AF17-(Datos!V17+Datos!AN17))/(Datos!V17+Datos!AN17))," - ")</f>
        <v>-0.39393939393939392</v>
      </c>
      <c r="H17" s="230">
        <f>IF(ISNUMBER((Datos!M17-Datos!W17)/Datos!W17),(Datos!M17-Datos!W17)/Datos!W17," - ")</f>
        <v>1.25</v>
      </c>
      <c r="I17" s="350">
        <f>IF(ISNUMBER((Tasas!C17-Datos!BE17)/Datos!BE17),(Tasas!C17-Datos!BE17)/Datos!BE17," - ")</f>
        <v>-0.42866161616161613</v>
      </c>
      <c r="J17" s="349">
        <f>IF(ISNUMBER((Tasas!D17-Datos!BF17)/Datos!BF17),(Tasas!D17-Datos!BF17)/Datos!BF17," - ")</f>
        <v>1.12109375</v>
      </c>
      <c r="K17" s="351">
        <f>IF(ISNUMBER((Tasas!E17-Datos!BG17)/Datos!BG17),(Tasas!E17-Datos!BG17)/Datos!BG17," - ")</f>
        <v>-9.7265164899882198E-2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0.18417104276069018</v>
      </c>
      <c r="E18" s="354">
        <f>IF(ISNUMBER(
   IF(D_I="SI",(Datos!J18-Datos!T18)/Datos!T18,(Datos!J18+Datos!AD18-(Datos!T18+Datos!AL18))/(Datos!T18+Datos!AL18))
     ),IF(D_I="SI",(Datos!J18-Datos!T18)/Datos!T18,(Datos!J18+Datos!AD18-(Datos!T18+Datos!AL18))/(Datos!T18+Datos!AL18))," - ")</f>
        <v>-8.6956521739130432E-2</v>
      </c>
      <c r="F18" s="354">
        <f>IF(ISNUMBER(
   IF(D_I="SI",(Datos!K18-Datos!U18)/Datos!U18,(Datos!K18+Datos!AE18-(Datos!U18+Datos!AM18))/(Datos!U18+Datos!AM18))
     ),IF(D_I="SI",(Datos!K18-Datos!U18)/Datos!U18,(Datos!K18+Datos!AE18-(Datos!U18+Datos!AM18))/(Datos!U18+Datos!AM18))," - ")</f>
        <v>-6.5180102915951971E-2</v>
      </c>
      <c r="G18" s="355">
        <f>IF(ISNUMBER(
   IF(D_I="SI",(Datos!L18-Datos!V18)/Datos!V18,(Datos!L18+Datos!AF18-(Datos!V18+Datos!AN18))/(Datos!V18+Datos!AN18))
     ),IF(D_I="SI",(Datos!L18-Datos!V18)/Datos!V18,(Datos!L18+Datos!AF18-(Datos!V18+Datos!AN18))/(Datos!V18+Datos!AN18))," - ")</f>
        <v>7.0745044429254958E-2</v>
      </c>
      <c r="H18" s="356">
        <f>IF(ISNUMBER((Datos!M18-Datos!W18)/Datos!W18),(Datos!M18-Datos!W18)/Datos!W18," - ")</f>
        <v>2.9520295202952029E-2</v>
      </c>
      <c r="I18" s="357">
        <f>IF(ISNUMBER((Tasas!C18-Datos!BE18)/Datos!BE18),(Tasas!C18-Datos!BE18)/Datos!BE18," - ")</f>
        <v>0.14540249706835898</v>
      </c>
      <c r="J18" s="355">
        <f>IF(ISNUMBER((Tasas!D18-Datos!BF18)/Datos!BF18),(Tasas!D18-Datos!BF18)/Datos!BF18," - ")</f>
        <v>0.10130336165746978</v>
      </c>
      <c r="K18" s="358">
        <f>IF(ISNUMBER((Tasas!E18-Datos!BG18)/Datos!BG18),(Tasas!E18-Datos!BG18)/Datos!BG18," - ")</f>
        <v>0.1457161477916479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0.23610493552690084</v>
      </c>
      <c r="E19" s="363">
        <f>IF(ISNUMBER(
   IF(J_V="SI",(Datos!J19-Datos!T19)/Datos!T19,(Datos!J19+Datos!Z19-(Datos!T19+Datos!AH19))/(Datos!T19+Datos!AH19))
     ),IF(J_V="SI",(Datos!J19-Datos!T19)/Datos!T19,(Datos!J19+Datos!Z19-(Datos!T19+Datos!AH19))/(Datos!T19+Datos!AH19))," - ")</f>
        <v>-0.10221371959551791</v>
      </c>
      <c r="F19" s="363">
        <f>IF(ISNUMBER(
   IF(J_V="SI",(Datos!K19-Datos!U19)/Datos!U19,(Datos!K19+Datos!AA19-(Datos!U19+Datos!AI19))/(Datos!U19+Datos!AI19))
     ),IF(J_V="SI",(Datos!K19-Datos!U19)/Datos!U19,(Datos!K19+Datos!AA19-(Datos!U19+Datos!AI19))/(Datos!U19+Datos!AI19))," - ")</f>
        <v>0.12081513828238719</v>
      </c>
      <c r="G19" s="364">
        <f>IF(ISNUMBER(
   IF(J_V="SI",(Datos!L19-Datos!V19)/Datos!V19,(Datos!L19+Datos!AB19-(Datos!V19+Datos!AJ19))/(Datos!V19+Datos!AJ19))
     ),IF(J_V="SI",(Datos!L19-Datos!V19)/Datos!V19,(Datos!L19+Datos!AB19-(Datos!V19+Datos!AJ19))/(Datos!V19+Datos!AJ19))," - ")</f>
        <v>0.12276352662211684</v>
      </c>
      <c r="H19" s="365">
        <f>IF(ISNUMBER((Datos!M19-Datos!W19)/Datos!W19),(Datos!M19-Datos!W19)/Datos!W19," - ")</f>
        <v>0.27666151468315303</v>
      </c>
      <c r="I19" s="362">
        <f>IF(ISNUMBER((Tasas!C19-Datos!BE19)/Datos!BE19),(Tasas!C19-Datos!BE19)/Datos!BE19," - ")</f>
        <v>1.7383672589534509E-3</v>
      </c>
      <c r="J19" s="363">
        <f>IF(ISNUMBER((Tasas!D19-Datos!BF19)/Datos!BF19),(Tasas!D19-Datos!BF19)/Datos!BF19," - ")</f>
        <v>-0.21095970410745579</v>
      </c>
      <c r="K19" s="364">
        <f>IF(ISNUMBER((Tasas!E19-Datos!BG19)/Datos!BG19),(Tasas!E19-Datos!BG19)/Datos!BG19," - ")</f>
        <v>1.5586981173705871E-2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0.24541853733679553</v>
      </c>
      <c r="E21" s="278">
        <f t="shared" si="1"/>
        <v>0.2246187954641915</v>
      </c>
      <c r="F21" s="278">
        <f t="shared" si="1"/>
        <v>8.7095914973105079E-2</v>
      </c>
      <c r="G21" s="279">
        <f t="shared" si="1"/>
        <v>0.25752219445428937</v>
      </c>
      <c r="H21" s="285">
        <f t="shared" si="1"/>
        <v>0.49018785590712427</v>
      </c>
      <c r="I21" s="277">
        <f t="shared" si="1"/>
        <v>0.28921745656222475</v>
      </c>
      <c r="J21" s="278">
        <f t="shared" si="1"/>
        <v>0.54757999200833307</v>
      </c>
      <c r="K21" s="279">
        <f t="shared" si="1"/>
        <v>0.17552102282424442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AO1D3ix5nnMHsN+LhTi6k9FyWa2s0RW0KpByE26gOrDQ/jDMCiGXUc0T4uhFhGXILHK7Oq1xmbzo+Wu4xQ4jg==" saltValue="5AEmLunFNNpKVnoMifJvE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